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2630" windowHeight="9390" tabRatio="247"/>
  </bookViews>
  <sheets>
    <sheet name="Residential Plug Loads" sheetId="1" r:id="rId1"/>
    <sheet name="Commercial Plug Loads" sheetId="2" r:id="rId2"/>
  </sheets>
  <definedNames>
    <definedName name="_xlnm.Print_Area" localSheetId="0">'Residential Plug Loads'!$A$1:$K$323</definedName>
    <definedName name="_xlnm.Print_Titles" localSheetId="0">'Residential Plug Loads'!$13:$15</definedName>
  </definedNames>
  <calcPr calcId="145621" fullCalcOnLoad="1"/>
</workbook>
</file>

<file path=xl/calcChain.xml><?xml version="1.0" encoding="utf-8"?>
<calcChain xmlns="http://schemas.openxmlformats.org/spreadsheetml/2006/main">
  <c r="H304" i="1" l="1"/>
  <c r="H35" i="1"/>
  <c r="H46" i="1"/>
  <c r="H47" i="1"/>
  <c r="H37" i="1"/>
  <c r="H33" i="1"/>
  <c r="H32" i="1"/>
  <c r="H41" i="1"/>
  <c r="H40" i="1"/>
  <c r="H42" i="1"/>
  <c r="H38" i="1"/>
  <c r="H39" i="1"/>
  <c r="H45" i="1"/>
  <c r="H36" i="1"/>
  <c r="H34" i="1"/>
  <c r="H44" i="1"/>
  <c r="H43" i="1"/>
  <c r="H243" i="1"/>
  <c r="H227" i="1"/>
  <c r="H244" i="1"/>
  <c r="H133" i="1"/>
  <c r="B138" i="1"/>
  <c r="H138" i="1"/>
  <c r="B167" i="2"/>
  <c r="H167" i="2"/>
  <c r="F168" i="2"/>
  <c r="E168" i="2"/>
  <c r="E113" i="2"/>
  <c r="F113" i="2"/>
  <c r="H101" i="2"/>
  <c r="H100" i="2"/>
  <c r="H285" i="1"/>
  <c r="H284" i="1"/>
  <c r="H283" i="1"/>
  <c r="H282" i="1"/>
  <c r="H281" i="1"/>
  <c r="H280" i="1"/>
  <c r="H279" i="1"/>
  <c r="H278" i="1"/>
  <c r="H277" i="1"/>
  <c r="H276" i="1"/>
  <c r="G275" i="1"/>
  <c r="H275" i="1"/>
  <c r="G274" i="1"/>
  <c r="H274" i="1"/>
  <c r="G273" i="1"/>
  <c r="H273" i="1"/>
  <c r="G272" i="1"/>
  <c r="H272" i="1"/>
  <c r="G271" i="1"/>
  <c r="H271" i="1"/>
  <c r="G270" i="1"/>
  <c r="H270" i="1"/>
  <c r="G269" i="1"/>
  <c r="H269" i="1"/>
  <c r="G268" i="1"/>
  <c r="H268" i="1"/>
  <c r="G267" i="1"/>
  <c r="H267" i="1"/>
  <c r="G264" i="1"/>
  <c r="H264" i="1"/>
  <c r="G266" i="1"/>
  <c r="H266" i="1"/>
  <c r="G265" i="1"/>
  <c r="H265" i="1"/>
  <c r="G168" i="2"/>
  <c r="H323" i="1"/>
  <c r="H322" i="1"/>
  <c r="H321" i="1"/>
  <c r="H320" i="1"/>
  <c r="H318" i="1"/>
  <c r="H317" i="1"/>
  <c r="H316" i="1"/>
  <c r="H315" i="1"/>
  <c r="H306" i="1"/>
  <c r="H305" i="1"/>
  <c r="H303" i="1"/>
  <c r="H289" i="1"/>
  <c r="H295" i="1"/>
  <c r="H294" i="1"/>
  <c r="H290" i="1"/>
  <c r="G109" i="2"/>
  <c r="B109" i="2"/>
  <c r="G110" i="2"/>
  <c r="G111" i="2"/>
  <c r="G108" i="2"/>
  <c r="B108" i="2"/>
  <c r="H239" i="1"/>
  <c r="E238" i="1"/>
  <c r="H238" i="1"/>
  <c r="H229" i="1"/>
  <c r="E228" i="1"/>
  <c r="H228" i="1"/>
  <c r="B55" i="2"/>
  <c r="B54" i="2"/>
  <c r="B75" i="2"/>
  <c r="B74" i="2"/>
  <c r="B77" i="2"/>
  <c r="B76" i="2"/>
  <c r="B51" i="2"/>
  <c r="B41" i="2"/>
  <c r="B42" i="2"/>
  <c r="B43" i="2"/>
  <c r="B38" i="2"/>
  <c r="B39" i="2"/>
  <c r="B52" i="2"/>
  <c r="B53" i="2"/>
  <c r="B50" i="2"/>
  <c r="B40" i="2"/>
  <c r="B60" i="2"/>
  <c r="B61" i="2"/>
  <c r="B48" i="2"/>
  <c r="B49" i="2"/>
  <c r="B45" i="2"/>
  <c r="B46" i="2"/>
  <c r="B47" i="2"/>
  <c r="B44" i="2"/>
  <c r="B57" i="2"/>
  <c r="B59" i="2"/>
  <c r="B56" i="2"/>
  <c r="B58" i="2"/>
  <c r="E32" i="2"/>
  <c r="F32" i="2"/>
  <c r="B32" i="2"/>
  <c r="E31" i="2"/>
  <c r="F31" i="2"/>
  <c r="B31" i="2"/>
  <c r="E34" i="2"/>
  <c r="F34" i="2"/>
  <c r="B34" i="2"/>
  <c r="E33" i="2"/>
  <c r="F33" i="2"/>
  <c r="B33" i="2"/>
  <c r="E21" i="2"/>
  <c r="F21" i="2"/>
  <c r="B21" i="2"/>
  <c r="E23" i="2"/>
  <c r="F23" i="2"/>
  <c r="B23" i="2"/>
  <c r="E36" i="2"/>
  <c r="F36" i="2"/>
  <c r="B36" i="2"/>
  <c r="E35" i="2"/>
  <c r="F35" i="2"/>
  <c r="B35" i="2"/>
  <c r="E22" i="2"/>
  <c r="F22" i="2"/>
  <c r="B22" i="2"/>
  <c r="E20" i="2"/>
  <c r="F20" i="2"/>
  <c r="B20" i="2"/>
  <c r="E25" i="2"/>
  <c r="F25" i="2"/>
  <c r="B25" i="2"/>
  <c r="E24" i="2"/>
  <c r="F24" i="2"/>
  <c r="B24" i="2"/>
  <c r="E26" i="2"/>
  <c r="F26" i="2"/>
  <c r="B26" i="2"/>
  <c r="E37" i="2"/>
  <c r="F37" i="2"/>
  <c r="B37" i="2"/>
  <c r="E30" i="2"/>
  <c r="F30" i="2"/>
  <c r="B30" i="2"/>
  <c r="E27" i="2"/>
  <c r="F27" i="2"/>
  <c r="B27" i="2"/>
  <c r="E28" i="2"/>
  <c r="F28" i="2"/>
  <c r="B28" i="2"/>
  <c r="E29" i="2"/>
  <c r="F29" i="2"/>
  <c r="B29" i="2"/>
  <c r="E121" i="1"/>
  <c r="H121" i="1"/>
  <c r="E215" i="1"/>
  <c r="B215" i="1"/>
  <c r="H215" i="1"/>
  <c r="H124" i="1"/>
  <c r="H30" i="1"/>
  <c r="H135" i="1"/>
  <c r="H125" i="1"/>
  <c r="H187" i="1"/>
  <c r="H136" i="1"/>
  <c r="H141" i="1"/>
  <c r="H139" i="1"/>
  <c r="E109" i="1"/>
  <c r="H109" i="1"/>
  <c r="E147" i="1"/>
  <c r="F147" i="1"/>
  <c r="H147" i="1"/>
  <c r="E122" i="1"/>
  <c r="H122" i="1"/>
  <c r="E94" i="1"/>
  <c r="H94" i="1"/>
  <c r="H98" i="1"/>
  <c r="H82" i="1"/>
  <c r="E18" i="1"/>
  <c r="G18" i="1"/>
  <c r="G95" i="1"/>
  <c r="B95" i="1"/>
  <c r="B104" i="1"/>
  <c r="G104" i="1"/>
  <c r="B105" i="1"/>
  <c r="G105" i="1"/>
  <c r="G86" i="1"/>
  <c r="B86" i="1"/>
  <c r="B84" i="1"/>
  <c r="G84" i="1"/>
  <c r="H92" i="2"/>
  <c r="H90" i="2"/>
  <c r="H89" i="2"/>
  <c r="H88" i="2"/>
  <c r="H87" i="2"/>
  <c r="H86" i="2"/>
  <c r="H84" i="2"/>
  <c r="H85" i="2"/>
  <c r="H83" i="2"/>
  <c r="H82" i="2"/>
  <c r="G72" i="1"/>
  <c r="G73" i="1"/>
  <c r="B71" i="1"/>
  <c r="G71" i="1"/>
  <c r="B69" i="1"/>
  <c r="G69" i="1"/>
  <c r="B70" i="1"/>
  <c r="G70" i="1"/>
  <c r="B74" i="1"/>
  <c r="G74" i="1"/>
  <c r="B190" i="1"/>
  <c r="E189" i="1"/>
  <c r="G189" i="1"/>
  <c r="G190" i="1"/>
  <c r="B51" i="1"/>
  <c r="H51" i="1"/>
  <c r="G51" i="1"/>
  <c r="B53" i="1"/>
  <c r="B52" i="1"/>
  <c r="H52" i="1"/>
  <c r="B50" i="1"/>
  <c r="G50" i="1"/>
  <c r="G53" i="1"/>
  <c r="B59" i="1"/>
  <c r="H126" i="1"/>
  <c r="H127" i="1"/>
  <c r="G52" i="1"/>
  <c r="E199" i="1"/>
  <c r="B199" i="1"/>
  <c r="B158" i="2"/>
  <c r="B157" i="2"/>
  <c r="G158" i="2"/>
  <c r="G157" i="2"/>
  <c r="G155" i="2"/>
  <c r="B155" i="2"/>
  <c r="B154" i="2"/>
  <c r="G154" i="2"/>
  <c r="G153" i="2"/>
  <c r="B153" i="2"/>
  <c r="G152" i="2"/>
  <c r="G146" i="2"/>
  <c r="B146" i="2"/>
  <c r="G145" i="2"/>
  <c r="B145" i="2"/>
  <c r="G144" i="2"/>
  <c r="B144" i="2"/>
  <c r="G143" i="2"/>
  <c r="B143" i="2"/>
  <c r="B136" i="2"/>
  <c r="G136" i="2"/>
  <c r="B137" i="2"/>
  <c r="G137" i="2"/>
  <c r="G135" i="2"/>
  <c r="B135" i="2"/>
  <c r="B96" i="1"/>
  <c r="G96" i="1"/>
  <c r="B166" i="2"/>
  <c r="B165" i="2"/>
  <c r="B164" i="2"/>
  <c r="B163" i="2"/>
  <c r="G133" i="2"/>
  <c r="B133" i="2"/>
  <c r="G132" i="2"/>
  <c r="B132" i="2"/>
  <c r="G131" i="2"/>
  <c r="B131" i="2"/>
  <c r="G130" i="2"/>
  <c r="B130" i="2"/>
  <c r="G128" i="2"/>
  <c r="B124" i="2"/>
  <c r="E261" i="1"/>
  <c r="G261" i="1"/>
  <c r="B18" i="2"/>
  <c r="B17" i="2"/>
  <c r="B162" i="2"/>
  <c r="H298" i="1"/>
  <c r="H56" i="1"/>
  <c r="G97" i="1"/>
  <c r="E97" i="1"/>
  <c r="B130" i="1"/>
  <c r="C130" i="1"/>
  <c r="B129" i="1"/>
  <c r="E129" i="1"/>
  <c r="H161" i="2"/>
  <c r="H160" i="2"/>
  <c r="B174" i="1"/>
  <c r="B173" i="1"/>
  <c r="B172" i="1"/>
  <c r="B171" i="1"/>
  <c r="B170" i="1"/>
  <c r="B169" i="1"/>
  <c r="B166" i="1"/>
  <c r="B168" i="1"/>
  <c r="B167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82" i="1"/>
  <c r="B179" i="1"/>
  <c r="B181" i="1"/>
  <c r="B180" i="1"/>
  <c r="B178" i="1"/>
  <c r="B177" i="1"/>
  <c r="B176" i="1"/>
  <c r="B175" i="1"/>
  <c r="B91" i="1"/>
  <c r="H91" i="1"/>
  <c r="B90" i="1"/>
  <c r="F206" i="1"/>
  <c r="G78" i="1"/>
  <c r="E78" i="1"/>
  <c r="G17" i="1"/>
  <c r="H17" i="1"/>
  <c r="F17" i="1"/>
  <c r="E17" i="1"/>
  <c r="F325" i="1"/>
  <c r="G325" i="1"/>
  <c r="G324" i="1"/>
  <c r="F324" i="1"/>
  <c r="E325" i="1"/>
  <c r="E324" i="1"/>
  <c r="B325" i="1"/>
  <c r="B324" i="1"/>
  <c r="H324" i="1"/>
  <c r="B319" i="1"/>
  <c r="G319" i="1"/>
  <c r="H319" i="1"/>
  <c r="F319" i="1"/>
  <c r="E319" i="1"/>
  <c r="G314" i="1"/>
  <c r="F314" i="1"/>
  <c r="E314" i="1"/>
  <c r="G291" i="1"/>
  <c r="F291" i="1"/>
  <c r="E291" i="1"/>
  <c r="G296" i="1"/>
  <c r="F296" i="1"/>
  <c r="E296" i="1"/>
  <c r="B296" i="1"/>
  <c r="G297" i="1"/>
  <c r="H297" i="1"/>
  <c r="F297" i="1"/>
  <c r="E297" i="1"/>
  <c r="B297" i="1"/>
  <c r="G308" i="1"/>
  <c r="F308" i="1"/>
  <c r="E308" i="1"/>
  <c r="G307" i="1"/>
  <c r="H307" i="1"/>
  <c r="F307" i="1"/>
  <c r="E307" i="1"/>
  <c r="H201" i="1"/>
  <c r="G251" i="1"/>
  <c r="F251" i="1"/>
  <c r="E251" i="1"/>
  <c r="G134" i="1"/>
  <c r="F134" i="1"/>
  <c r="E134" i="1"/>
  <c r="G22" i="1"/>
  <c r="F22" i="1"/>
  <c r="E22" i="1"/>
  <c r="G309" i="1"/>
  <c r="F309" i="1"/>
  <c r="E309" i="1"/>
  <c r="G131" i="1"/>
  <c r="F131" i="1"/>
  <c r="E131" i="1"/>
  <c r="G207" i="1"/>
  <c r="H207" i="1"/>
  <c r="E207" i="1"/>
  <c r="G242" i="1"/>
  <c r="H242" i="1"/>
  <c r="F242" i="1"/>
  <c r="E242" i="1"/>
  <c r="G123" i="1"/>
  <c r="F123" i="1"/>
  <c r="E123" i="1"/>
  <c r="G205" i="1"/>
  <c r="F205" i="1"/>
  <c r="H205" i="1"/>
  <c r="E205" i="1"/>
  <c r="G120" i="1"/>
  <c r="E120" i="1"/>
  <c r="H120" i="1"/>
  <c r="G202" i="1"/>
  <c r="F202" i="1"/>
  <c r="E202" i="1"/>
  <c r="E224" i="1"/>
  <c r="F224" i="1"/>
  <c r="H224" i="1"/>
  <c r="E225" i="1"/>
  <c r="F225" i="1"/>
  <c r="E223" i="1"/>
  <c r="F223" i="1"/>
  <c r="H223" i="1"/>
  <c r="E222" i="1"/>
  <c r="F222" i="1"/>
  <c r="E218" i="1"/>
  <c r="F218" i="1"/>
  <c r="E219" i="1"/>
  <c r="F219" i="1"/>
  <c r="E220" i="1"/>
  <c r="F220" i="1"/>
  <c r="E221" i="1"/>
  <c r="F221" i="1"/>
  <c r="B216" i="1"/>
  <c r="B224" i="1"/>
  <c r="B225" i="1"/>
  <c r="B223" i="1"/>
  <c r="B222" i="1"/>
  <c r="B218" i="1"/>
  <c r="B219" i="1"/>
  <c r="B220" i="1"/>
  <c r="B221" i="1"/>
  <c r="H211" i="1"/>
  <c r="H213" i="1"/>
  <c r="E208" i="1"/>
  <c r="B208" i="1"/>
  <c r="E214" i="1"/>
  <c r="B214" i="1"/>
  <c r="E210" i="1"/>
  <c r="B210" i="1"/>
  <c r="F210" i="1"/>
  <c r="H210" i="1"/>
  <c r="E212" i="1"/>
  <c r="F212" i="1"/>
  <c r="H77" i="1"/>
  <c r="H58" i="1"/>
  <c r="H57" i="1"/>
  <c r="H326" i="1"/>
  <c r="H327" i="1"/>
  <c r="H263" i="1"/>
  <c r="G109" i="1"/>
  <c r="H78" i="1"/>
  <c r="H261" i="1"/>
  <c r="G199" i="1"/>
  <c r="H308" i="1"/>
  <c r="H134" i="1"/>
  <c r="H251" i="1"/>
  <c r="H325" i="1"/>
  <c r="B189" i="1"/>
  <c r="H220" i="1"/>
  <c r="H296" i="1"/>
  <c r="H309" i="1"/>
  <c r="H22" i="1"/>
  <c r="H291" i="1"/>
  <c r="H314" i="1"/>
  <c r="H221" i="1"/>
  <c r="B212" i="1"/>
  <c r="H212" i="1"/>
  <c r="H202" i="1"/>
  <c r="H131" i="1"/>
  <c r="H222" i="1"/>
  <c r="H219" i="1"/>
  <c r="H225" i="1"/>
  <c r="H218" i="1"/>
  <c r="H123" i="1"/>
  <c r="H214" i="1"/>
</calcChain>
</file>

<file path=xl/sharedStrings.xml><?xml version="1.0" encoding="utf-8"?>
<sst xmlns="http://schemas.openxmlformats.org/spreadsheetml/2006/main" count="2767" uniqueCount="553">
  <si>
    <t>Active</t>
  </si>
  <si>
    <t>Idle</t>
  </si>
  <si>
    <t>Off</t>
  </si>
  <si>
    <t>VCR</t>
  </si>
  <si>
    <t xml:space="preserve"> </t>
  </si>
  <si>
    <t>Blender</t>
  </si>
  <si>
    <t>Apple TV streaming box</t>
  </si>
  <si>
    <t>Shaver</t>
  </si>
  <si>
    <t>Toothbrush</t>
  </si>
  <si>
    <t>Scanner</t>
  </si>
  <si>
    <t>Compact refrigerator or compact refrigerator-freezer (manual defrost)</t>
  </si>
  <si>
    <t>Compact refrigerator-freezer (partial automatic defrost)</t>
  </si>
  <si>
    <t>Compact top-mounted freezer or refrigerator only (automatic defrost)</t>
  </si>
  <si>
    <t>Compact bottom-mounted freezer (automatic defrost)</t>
  </si>
  <si>
    <t>Dishwasher (excluding hot water)</t>
  </si>
  <si>
    <t>Dishwasher (including hot water from an electric water heater)</t>
  </si>
  <si>
    <t>Air purifier</t>
  </si>
  <si>
    <t>Clothes washer (excluding water heating energy use)</t>
  </si>
  <si>
    <t>Clothes washer (including water heating energy use)</t>
  </si>
  <si>
    <t>Clothes washer and dryer</t>
  </si>
  <si>
    <t>Audio equipment</t>
  </si>
  <si>
    <t>Televisions</t>
  </si>
  <si>
    <t>Desktop computer</t>
  </si>
  <si>
    <t>CD player</t>
  </si>
  <si>
    <t>Clock radio</t>
  </si>
  <si>
    <t>Small stereo with remote</t>
  </si>
  <si>
    <t>Annual energy consumption (kWh)</t>
  </si>
  <si>
    <t>Battery charger (AA batteries)</t>
  </si>
  <si>
    <t>Digital camera</t>
  </si>
  <si>
    <t>MP3 player</t>
  </si>
  <si>
    <t>Smoke detector (hardwired)</t>
  </si>
  <si>
    <t>Printer (laser)</t>
  </si>
  <si>
    <t>Modem (cable)</t>
  </si>
  <si>
    <t>Modem (DSL)</t>
  </si>
  <si>
    <t>Can opener</t>
  </si>
  <si>
    <t>Microwave oven</t>
  </si>
  <si>
    <t>Popcorn maker</t>
  </si>
  <si>
    <t>Stand mixer</t>
  </si>
  <si>
    <t>Portable fan</t>
  </si>
  <si>
    <t>Room air conditioner</t>
  </si>
  <si>
    <t>Space heater</t>
  </si>
  <si>
    <t>Answering machine</t>
  </si>
  <si>
    <t>Satellite dish</t>
  </si>
  <si>
    <t>Microsoft Xbox (2001), turned off when not in use</t>
  </si>
  <si>
    <t>Microsoft Xbox 360 (2007), turned off when not in use</t>
  </si>
  <si>
    <t>Microsoft Xbox 360 (2010), turned off when not in use</t>
  </si>
  <si>
    <t>Nintendo 64 (1996), turned off when not in use</t>
  </si>
  <si>
    <t>Nintendo GameCube (2000), turned off when not in use</t>
  </si>
  <si>
    <t>Nintendo Wii (2006), turned off when not in use</t>
  </si>
  <si>
    <t>Nintendo Wii (2010), turned off when not in use</t>
  </si>
  <si>
    <t>Sony PlayStation (1994), turned off when not in use</t>
  </si>
  <si>
    <t>Sony PlayStation 2 (2000), turned off when not in use</t>
  </si>
  <si>
    <t>Sony PlayStation 3 (2007), turned off when not in use</t>
  </si>
  <si>
    <t>Super Nintendo (1991), turned off when not in use</t>
  </si>
  <si>
    <t>Super Nintendo (1991), left on when not in use</t>
  </si>
  <si>
    <t>Microsoft Xbox (2001), left on when not in use</t>
  </si>
  <si>
    <t>Microsoft Xbox 360 (2007), left on when not in use</t>
  </si>
  <si>
    <t>Microsoft Xbox 360 (2010), left on when not in use</t>
  </si>
  <si>
    <t>Nintendo 64 (1996), left on when not in use</t>
  </si>
  <si>
    <t>Nintendo GameCube (2000), left on when not in use</t>
  </si>
  <si>
    <t>Nintendo Wii (2006), left on when not in use</t>
  </si>
  <si>
    <t>Nintendo Wii (2010), left on when not in use</t>
  </si>
  <si>
    <t>Sony PlayStation (1994), left on when not in use</t>
  </si>
  <si>
    <t>Sony PlayStation 2 (2000), left on when not in use</t>
  </si>
  <si>
    <t>Sony PlayStation 3 (2007), left on when not in use</t>
  </si>
  <si>
    <t xml:space="preserve">Compact bottom-mounted freezer (automatic defrost), Energy Star </t>
  </si>
  <si>
    <t xml:space="preserve">Compact refrigerator or compact refrigerator-freezer (manual defrost), Energy Star </t>
  </si>
  <si>
    <t xml:space="preserve">Compact refrigerator-freezer (partial automatic defrost), Energy Star </t>
  </si>
  <si>
    <t xml:space="preserve">Compact top-mounted freezer or refrigerator only (automatic defrost), Energy Star </t>
  </si>
  <si>
    <t>Clothes iron</t>
  </si>
  <si>
    <t>Curling iron</t>
  </si>
  <si>
    <t>Electric blanket</t>
  </si>
  <si>
    <t>Clothes washer (excluding water heating energy use), Energy Star</t>
  </si>
  <si>
    <t>Clothes washer (including water heating energy use), Energy Star</t>
  </si>
  <si>
    <t>Clothes washer and dryer, Energy Star</t>
  </si>
  <si>
    <t>Dishwasher (excluding hot water), Energy Star</t>
  </si>
  <si>
    <t>Dishwasher (including hot water from an electric water heater), Energy Star</t>
  </si>
  <si>
    <t>Self-cleaning oven</t>
  </si>
  <si>
    <t>—</t>
  </si>
  <si>
    <t>Return to the landing page</t>
  </si>
  <si>
    <t>Plug load devices, by type</t>
  </si>
  <si>
    <t>Power draw (W) by mode</t>
  </si>
  <si>
    <t>Hours per day in mode</t>
  </si>
  <si>
    <t>Water heater, 50-gallon high-efficiency</t>
  </si>
  <si>
    <t>Water heater, 50-gallon standard-efficiency</t>
  </si>
  <si>
    <t xml:space="preserve">Printer (laser), Energy Star </t>
  </si>
  <si>
    <t>Clothes dryer, standard</t>
  </si>
  <si>
    <t>Portable stereo (boom box)</t>
  </si>
  <si>
    <t>Source date</t>
  </si>
  <si>
    <t>Source URL</t>
  </si>
  <si>
    <t>NA</t>
  </si>
  <si>
    <t>Turntable</t>
  </si>
  <si>
    <t>iPod Nano, 8 GB (6th generation)</t>
  </si>
  <si>
    <t>Baby monitor</t>
  </si>
  <si>
    <t>Sewing machine</t>
  </si>
  <si>
    <t xml:space="preserve">Energy Center of Wisconsin: Electricity Savings Opportunities for Home Electronics and Other Plug-In Devices in Minnesota Homes: A Technical and Behavioral Field Assessment </t>
  </si>
  <si>
    <t>Source author and title</t>
  </si>
  <si>
    <t>E Source: Managing Plug Loads: Laptops &amp; Chargers &amp; Fans, Oh My!</t>
  </si>
  <si>
    <t>EPRI: iPad Electricity Consumption in Relation to Other Energy Consuming Devices</t>
  </si>
  <si>
    <t>ACEEE: Home Electronics: Understanding Power Modes</t>
  </si>
  <si>
    <t>Ecos Consulting: Residential and Office Final Field Research Report</t>
  </si>
  <si>
    <t>http://www.energystar.gov/ia/business/bulk_purchasing/bpsavings_calc/appliance_calculator.xlsx</t>
  </si>
  <si>
    <t>Energy Star: Market &amp; Industry Scoping Report: Residential Clothes Dryers</t>
  </si>
  <si>
    <t>DOE Estimating Appliance and Home Electronic Energy Use; E Source estimates</t>
  </si>
  <si>
    <t>Energy Star: Water Heater Market Profile</t>
  </si>
  <si>
    <t>Powered subwoofer</t>
  </si>
  <si>
    <t>http://www.eia.gov/analysis/studies/demand/miscelectric/pdf/miscelectric.pdf</t>
  </si>
  <si>
    <t>Water-bed heater</t>
  </si>
  <si>
    <t>Commercial video displays</t>
  </si>
  <si>
    <t>Sony PlayStation 4 (2013), turned off when not in use</t>
  </si>
  <si>
    <t>Sony PlayStation 4 (2013), left on when not in use</t>
  </si>
  <si>
    <t>NYSERDA: Advanced Power Strip Research Report</t>
  </si>
  <si>
    <t>US Energy Information Administration: Analysis and Representation of Miscellaneous Electric Loads in NEMS</t>
  </si>
  <si>
    <t>Fraunhofer USA: Energy Consumption of Consumer Electronics in U.S. Homes in 2013</t>
  </si>
  <si>
    <t>Speaker dock</t>
  </si>
  <si>
    <t>Modem (fiber optic terminal)</t>
  </si>
  <si>
    <t>Modem (satellite)</t>
  </si>
  <si>
    <t>Router (wired/other)</t>
  </si>
  <si>
    <t>WiMAX</t>
  </si>
  <si>
    <t>Access point</t>
  </si>
  <si>
    <t>Mobile hotspot (wireless)</t>
  </si>
  <si>
    <t>Tablet (iPad 4)</t>
  </si>
  <si>
    <t>Tablet (iPad 3)</t>
  </si>
  <si>
    <t>Tablet (iPad 2)</t>
  </si>
  <si>
    <t>Tablet (average, with two charging cables)</t>
  </si>
  <si>
    <t>Cable set-top box (standard definition)</t>
  </si>
  <si>
    <t>Cable set-top box (high definition)</t>
  </si>
  <si>
    <t>Cable set-top box (DVR)</t>
  </si>
  <si>
    <t>Cable set-top box (multi-room)</t>
  </si>
  <si>
    <t>Cable set-top box (multi-room + DVR)</t>
  </si>
  <si>
    <t>Cable set-top box (thin client)</t>
  </si>
  <si>
    <t>Cable set-top box (digital-to-analog adapter)</t>
  </si>
  <si>
    <t>Satellite set-top box (standard definition)</t>
  </si>
  <si>
    <t>Satellite set-top box (high definition)</t>
  </si>
  <si>
    <t>Satellite set-top box (DVR)</t>
  </si>
  <si>
    <t>Satellite set-top box (thin client)</t>
  </si>
  <si>
    <t>Telco set-top box (standard definition)</t>
  </si>
  <si>
    <t>Telco set-top box (high definition)</t>
  </si>
  <si>
    <t>Telco set-top box (DVR)</t>
  </si>
  <si>
    <t>Telco set-top box (multi-room)</t>
  </si>
  <si>
    <t>Telco set-top box (multi-room + DVR)</t>
  </si>
  <si>
    <t>Telco set-top box (thin client)</t>
  </si>
  <si>
    <t>Stand-alone set-top box (digital streaming)</t>
  </si>
  <si>
    <t>Stand-alone set-top box (DVR)</t>
  </si>
  <si>
    <t>Stand-alone set-top box (over-the-air digital-to-analog converter)</t>
  </si>
  <si>
    <t>Bluetooth headset</t>
  </si>
  <si>
    <t>Cordless phone</t>
  </si>
  <si>
    <t>eReader</t>
  </si>
  <si>
    <t>Home theater in a box</t>
  </si>
  <si>
    <t>Internet phone device</t>
  </si>
  <si>
    <t>Tablet (iPad 1)</t>
  </si>
  <si>
    <t>Router (wireless)</t>
  </si>
  <si>
    <t>Portable DVD or Blu-ray disc player</t>
  </si>
  <si>
    <t>Portable game device</t>
  </si>
  <si>
    <t>Portable media/MP3/CD player</t>
  </si>
  <si>
    <t>Projector</t>
  </si>
  <si>
    <t>Sound bar</t>
  </si>
  <si>
    <t>Nintendo Wii (average)</t>
  </si>
  <si>
    <t>Nintendo Wii U (average)</t>
  </si>
  <si>
    <t>Stereo, shelf/compact system</t>
  </si>
  <si>
    <t>External computer speakers, with subwoofer</t>
  </si>
  <si>
    <t>External computer speakers, without subwoofer</t>
  </si>
  <si>
    <t>Handheld global positioning system</t>
  </si>
  <si>
    <t>Tablet (Kindle Fire HD 8.9-inch)</t>
  </si>
  <si>
    <t>Tablet (Kindle Fire HD 7.0-inch)</t>
  </si>
  <si>
    <t>Smartphone (average, with two chargers)</t>
  </si>
  <si>
    <t>Smartphone (iPhone 5S)</t>
  </si>
  <si>
    <t>Smartphone (iPhone 5)</t>
  </si>
  <si>
    <t>Smartphone (iPhone 4S)</t>
  </si>
  <si>
    <t>Smartphone (iPhone 4)</t>
  </si>
  <si>
    <t>Smartphone (iPhone 3G)</t>
  </si>
  <si>
    <t>Smartphone (Samsung Galaxy S4)</t>
  </si>
  <si>
    <t>Smartphone (Samsung Galaxy S3)</t>
  </si>
  <si>
    <t>Tablet (Samsung Galaxy Tab 3 7.0-inch)</t>
  </si>
  <si>
    <t>Tablet (Samsung Galaxy Tab 3 10.1-inch)</t>
  </si>
  <si>
    <t>Tablet (iPad Mini 1)</t>
  </si>
  <si>
    <t>Notes: — = no data; ACEEE = American Council for an Energy-Efficient Economy; CRT = cathode ray tube; DOE = US Department of Energy; DVR = digital video recorder; GB = gigabyte; kWh = kilowatt-hour; LBNL = Lawrence Berkeley National Laboratory; LCD = liquid crystal display; LED = light-emitting diode; NA = not available; NRDC = Natural Resources Defense Council; PG&amp;E = Pacific Gas and Electric Co.; W = watt.
a. The GE Home Appliance Energy Use: Data Visualization website includes data from Energy Star (including consultant work), LBNL, DOE, electric utilities such as PG&amp;E, and consumer reports.
b. Calculated using an average cycle length of two hours and a typical usage of four cycles per week.
c. Assumes same usage pattern as a DVD or Blu-ray player.</t>
  </si>
  <si>
    <t>Blu-ray player</t>
  </si>
  <si>
    <t>Blu-ray player, Energy Star</t>
  </si>
  <si>
    <t>Microsoft Xbox 360 (average, 2007–2009)</t>
  </si>
  <si>
    <t>Microsoft Xbox 360 S/E (average, 2010–2013)</t>
  </si>
  <si>
    <t>Sony PlayStation 2 (average, 2000–2013)</t>
  </si>
  <si>
    <t>Sony PlayStation 3 (average, 2006–2013)</t>
  </si>
  <si>
    <t>Sony PlayStation 3 Slim (average, 2009–2011)</t>
  </si>
  <si>
    <t>Sony PlayStation 3 Super Slim (average, 2012–2013)</t>
  </si>
  <si>
    <t>Microsoft Xbox (average, 2001–2008)</t>
  </si>
  <si>
    <t>2016 Energy Star Appliance Calculator</t>
  </si>
  <si>
    <t>Clothes dryer, Energy Star</t>
  </si>
  <si>
    <t>https://www.eia.gov/analysis/studies/demand/miscelectric/pdf/miscelectric.pdf</t>
  </si>
  <si>
    <t>Dehumidifier</t>
  </si>
  <si>
    <t>2014 Energy Star Appliance Calculator</t>
  </si>
  <si>
    <t>Refrigeration - top mounted freezer or refrigerator only with automatic defrost</t>
  </si>
  <si>
    <t>Refrigeration - freezer or refrigerator only with manual or partial-auto defrost, Energy Star</t>
  </si>
  <si>
    <t>Refrigeration - freezer or refrigerator only with manual or partial-auto defrost</t>
  </si>
  <si>
    <t>Refrigeration - top mounted freezer or refrigerator only with automatic defrost, Energy Star</t>
  </si>
  <si>
    <t>Bottom mounted freezer (automatic defrost)</t>
  </si>
  <si>
    <t>Bottom mounted freezer (automatic defrost), Energy Star</t>
  </si>
  <si>
    <t>Bottom mounted freezer with through-the-door ice, (automatic defrost)</t>
  </si>
  <si>
    <t>Cordless phone, Energy Star</t>
  </si>
  <si>
    <t>Exit sign - LED</t>
  </si>
  <si>
    <t>Google Home</t>
  </si>
  <si>
    <t>http://www.calmac.org/publications/MEL_Literature_Review_6_10_14.pdf</t>
  </si>
  <si>
    <t xml:space="preserve">Literature Review of Miscellaneous Energy Loads (MELs)
in Residential Buildings
</t>
  </si>
  <si>
    <t>http://aceee.org/files/proceedings/2014/data/papers/9-110.pdf</t>
  </si>
  <si>
    <t xml:space="preserve">Microsoft Xbox One </t>
  </si>
  <si>
    <t>NRDC: The Latest-Generation Video Game Consoles:
How Much Energy Do They Waste When You’re Not Playing?</t>
  </si>
  <si>
    <t>https://www.nrdc.org/sites/default/files/video-game-consoles-IB.pdf</t>
  </si>
  <si>
    <t>Night light (15 W incandescent)</t>
  </si>
  <si>
    <t>http://www.loup.com/docs/energysvc/energywise/EW-Tip-LEDsNiteLites.pdf</t>
  </si>
  <si>
    <t>EnergyWise: The Right Night Light</t>
  </si>
  <si>
    <t>Inventorying Plug Load Equipment and Assessing Plug Load Reduction Solutions on a University Campus</t>
  </si>
  <si>
    <t>https://www.esource.com/Blog/ESource/ES-Blog-2-17-17-Voice-Control</t>
  </si>
  <si>
    <t>DVD/VCR Player (Energy Star)</t>
  </si>
  <si>
    <t>Desktop computer (Apple desktop, 21.5" screen)</t>
  </si>
  <si>
    <t>Desktop computer (Dell Optiplex 9010)</t>
  </si>
  <si>
    <t>Laptop computer (Dell Latitude E6440)</t>
  </si>
  <si>
    <t xml:space="preserve">Server (1 U) </t>
  </si>
  <si>
    <t xml:space="preserve">Server (2 U) </t>
  </si>
  <si>
    <t xml:space="preserve">Server (4 U) </t>
  </si>
  <si>
    <t xml:space="preserve">Server (6 U) </t>
  </si>
  <si>
    <t xml:space="preserve">Server (12 U) </t>
  </si>
  <si>
    <t xml:space="preserve">Other </t>
  </si>
  <si>
    <t>Microscope</t>
  </si>
  <si>
    <t>Grow lamps</t>
  </si>
  <si>
    <t>http://hes-documentation.lbl.gov/calculation-methodology/calculation-of-energy-consumption/major-appliances/miscellaneous-equipment-energy-consumption/default-energy-consumption-of-mels</t>
  </si>
  <si>
    <t>Home Energy Saver &amp; Score: Engineering Documentation</t>
  </si>
  <si>
    <t>Broiler</t>
  </si>
  <si>
    <t>https://www.nrdc.org/sites/default/files/home-idle-load-IP.pdf</t>
  </si>
  <si>
    <t>Bluetooth-enabled LED</t>
  </si>
  <si>
    <t>Security/ surveillance system (with camera)</t>
  </si>
  <si>
    <t>Analysis and Representation of Miscellaneous Electric Loads in NEMS</t>
  </si>
  <si>
    <t>Energy Star: Office Equipment Calculator</t>
  </si>
  <si>
    <t>https://www.energystar.gov/ia/partners/prod_development/downloads/EEDAL_2015_How%20Low%20Can%20You%20Go%20Forecast%20of%20Game%20Console%20Energy%20Consumption%20Based%20on%20Industry%20Trends_Published.pdf?8fd5-1967</t>
  </si>
  <si>
    <t>https://www.energystar.gov/ia/partners/prod_development/downloads/EEDAL_2015_How%20Low%20Can%20You%20Go%20Forecast%20of%20Game%20Console%20Energy%20Consumption%20Based%20on%20Industry%20Trends_Published.pdf?8fd5-1968</t>
  </si>
  <si>
    <t>Microsoft Xbox (2005), left on when not in use</t>
  </si>
  <si>
    <t>https://www.energystar.gov/ia/partners/prod_development/downloads/EEDAL_2015_How%20Low%20Can%20You%20Go%20Forecast%20of%20Game%20Console%20Energy%20Consumption%20Based%20on%20Industry%20Trends_Published.pdf?8fd5-1970</t>
  </si>
  <si>
    <t>https://www.energystar.gov/ia/partners/prod_development/downloads/EEDAL_2015_How%20Low%20Can%20You%20Go%20Forecast%20of%20Game%20Console%20Energy%20Consumption%20Based%20on%20Industry%20Trends_Published.pdf?8fd5-1971</t>
  </si>
  <si>
    <t>https://www.energystar.gov/ia/partners/prod_development/downloads/EEDAL_2015_How%20Low%20Can%20You%20Go%20Forecast%20of%20Game%20Console%20Energy%20Consumption%20Based%20on%20Industry%20Trends_Published.pdf?8fd5-1972</t>
  </si>
  <si>
    <t>Sony PlayStation 3 (2006), left on when not in use</t>
  </si>
  <si>
    <t>Sony PlayStation 3 (2006), turned off when not in use</t>
  </si>
  <si>
    <t>Sony PlayStation 3 Slim (2010), left on when not in use</t>
  </si>
  <si>
    <t>Sony PlayStation 3 Slim (2010), turned off when not in use</t>
  </si>
  <si>
    <t>Sony PlayStation 3 Slim (2013), left on when not in use</t>
  </si>
  <si>
    <t>Sony PlayStation 3 Slim (2013), turned off when not in use</t>
  </si>
  <si>
    <t>http://radeon.com/wp-content/uploads/2016/07/Polaris-Carbon-Footprint-Study-07212016.pdf</t>
  </si>
  <si>
    <t>Polaris Carbon Footprint Study</t>
  </si>
  <si>
    <t>TV, 20" and under</t>
  </si>
  <si>
    <t>TV, 65" or greater</t>
  </si>
  <si>
    <t>TV, 20" and under (Energy Star)</t>
  </si>
  <si>
    <t>TV, 65" or greater (Energy Star)</t>
  </si>
  <si>
    <t>Shredder</t>
  </si>
  <si>
    <t>UPS</t>
  </si>
  <si>
    <t>http://aceee.org/files/proceedings/2016/data/papers/1_451.pdf</t>
  </si>
  <si>
    <t>ACEEE Summer Study on Energy Efficiency in Buildings</t>
  </si>
  <si>
    <t>Laundry Equipment</t>
  </si>
  <si>
    <t>https://www.energy.gov/energysaver/estimating-appliance-and-home-electronic-energy-use</t>
  </si>
  <si>
    <t>Energy Star Scoping Report, Residential Humidifiers</t>
  </si>
  <si>
    <t>https://www.energystar.gov/sites/default/files/asset/document/ENERGY_STAR_Scoping_Report_Residential_Humidifiers.pdf</t>
  </si>
  <si>
    <t>https://www.nrdc.org/experts/noah-horowitz/national-energy-use-pay-tv-set-top-boxes-heading-down</t>
  </si>
  <si>
    <t>NRDC: National Energy Use of Pay-TV Set-Top Boxes is Heading Down</t>
  </si>
  <si>
    <t>https://www.cta.tech/CTA/media/policyImages/Energy-Consumption-of-Consumer-Electronics.pdf</t>
  </si>
  <si>
    <t>http://www.cta.tech/CTA/media/policyImages/Energy-Consumption-of-Consumer-Electronics.pdf</t>
  </si>
  <si>
    <t>https://link.springer.com/article/10.1007/s12053-016-9503-2#Tab6</t>
  </si>
  <si>
    <t>https://greentransportation.info/energy-transportation/kwh-evcars-gizmos.html</t>
  </si>
  <si>
    <t>Gasoline, Electricity and the Energy to Move Transportation Systems</t>
  </si>
  <si>
    <t>Toyota RAV4 EV (Lead Acid) 1996</t>
  </si>
  <si>
    <t>Toyota RAV4 EV (NiMH) 2000</t>
  </si>
  <si>
    <t>Honda Fit EV 2014</t>
  </si>
  <si>
    <t>VW e-Golf 2015</t>
  </si>
  <si>
    <t>Nissan Leaf 2015</t>
  </si>
  <si>
    <t>Kia Soul EV 2015</t>
  </si>
  <si>
    <t>Tesla Model S 85 2016</t>
  </si>
  <si>
    <t>Tesla Model S 60 2014</t>
  </si>
  <si>
    <t>Tesla Model S 85D 2015</t>
  </si>
  <si>
    <t>BMW i3 BEW 2014</t>
  </si>
  <si>
    <t>https://www.energystar.gov/productfinder/product/certified-water-heaters/details/2283126</t>
  </si>
  <si>
    <t>https://www.energystar.gov/productfinder/product/certified-water-heaters/details/2236866</t>
  </si>
  <si>
    <t>DOE: Residential Conventional Ovens</t>
  </si>
  <si>
    <t>https://energy.gov/sites/prod/files/2015/06/f22/residential_ovens_nopr.pdf</t>
  </si>
  <si>
    <t>http://aceee.org/files/proceedings/2014/data/papers/9-702.pdf</t>
  </si>
  <si>
    <t>http://www.fueleconomy.gov/feg/PowerSearch.do?action=noform&amp;path=1&amp;year1=2015&amp;year2=2017&amp;vtype=Electric</t>
  </si>
  <si>
    <t>BMW i3 BEW 2017</t>
  </si>
  <si>
    <t>EPA Fuel Economy of Electric Cars</t>
  </si>
  <si>
    <t>VW e-Golf 2016</t>
  </si>
  <si>
    <t>VW e-Golf 2017</t>
  </si>
  <si>
    <t>Chevrolet Spark EV 2014</t>
  </si>
  <si>
    <t>Chevrolet Spark EV 2016</t>
  </si>
  <si>
    <t>Hyundai Ioniq Electric 2017</t>
  </si>
  <si>
    <t>© E Source</t>
  </si>
  <si>
    <t>Laptop computer (MacBook Air)</t>
  </si>
  <si>
    <t>Monitor (LCD PC Monitor)</t>
  </si>
  <si>
    <t>Monitor (LCD Apple Monitor)</t>
  </si>
  <si>
    <t>Treadmill</t>
  </si>
  <si>
    <t>Elliptical</t>
  </si>
  <si>
    <t>Printer (Inkjet)</t>
  </si>
  <si>
    <t>Desktop computer, Energy Star</t>
  </si>
  <si>
    <t>Multifunctional device</t>
  </si>
  <si>
    <t>Fax machine</t>
  </si>
  <si>
    <t>Overhead projector (cart)</t>
  </si>
  <si>
    <t>Overhead projector (ceiling - newer model)</t>
  </si>
  <si>
    <t>Electric combination oven</t>
  </si>
  <si>
    <t>Electric combination oven ( Energy Star)</t>
  </si>
  <si>
    <t>Electric convection oven (full-size)</t>
  </si>
  <si>
    <t>Electric convection oven (full-size, Energy Star)</t>
  </si>
  <si>
    <t>Electric convection oven (half-size)</t>
  </si>
  <si>
    <t>Electric convection oven (half-size, Energy Star)</t>
  </si>
  <si>
    <t>Electric fryer (large vat)</t>
  </si>
  <si>
    <t>Electric fryer (large vat, Energy Star)</t>
  </si>
  <si>
    <t>Electric fryer (standard size)</t>
  </si>
  <si>
    <t>Electric fryer (standard size, Energy Star)</t>
  </si>
  <si>
    <t>Electric griddle</t>
  </si>
  <si>
    <t xml:space="preserve">Electric griddle (Energy Star) </t>
  </si>
  <si>
    <t>Electric rack oven (double rack)</t>
  </si>
  <si>
    <t>Electric rack oven (double rack, Energy Star)</t>
  </si>
  <si>
    <t>Electric rack oven (single rack)</t>
  </si>
  <si>
    <t>Electric rack oven (single rack, Energy Star)</t>
  </si>
  <si>
    <t>Electric steam cooker</t>
  </si>
  <si>
    <t>Electric steam cooker (Energy Star)</t>
  </si>
  <si>
    <t>Hot food holding cabinet</t>
  </si>
  <si>
    <t>Hot food holding cabinet (Energy Star)</t>
  </si>
  <si>
    <t>Ice machine (batch, IMH)</t>
  </si>
  <si>
    <t>Ice machine (batch, IMH, Energy Star)</t>
  </si>
  <si>
    <t>Ice machine (batch, RCU/split system)</t>
  </si>
  <si>
    <t>Ice machine (batch, RCU/split system, Energy Star)</t>
  </si>
  <si>
    <t>Ice machine (batch, SCU)</t>
  </si>
  <si>
    <t>Ice machine (batch, SCU, Energy Star)</t>
  </si>
  <si>
    <t>Ice machine (continuous, IMH)</t>
  </si>
  <si>
    <t>Ice machine (continuous, IMH, Energy Star)</t>
  </si>
  <si>
    <t>Ice machine (continuous, RCU/split system)</t>
  </si>
  <si>
    <t>Ice machine (continuous, RCU/split system, Energy Star)</t>
  </si>
  <si>
    <t>Ice machine (continuous, SCU)</t>
  </si>
  <si>
    <r>
      <t xml:space="preserve">Ice </t>
    </r>
    <r>
      <rPr>
        <sz val="11"/>
        <rFont val="Arial"/>
        <family val="2"/>
      </rPr>
      <t>machine</t>
    </r>
    <r>
      <rPr>
        <sz val="11"/>
        <color indexed="8"/>
        <rFont val="Arial"/>
        <family val="2"/>
      </rPr>
      <t xml:space="preserve"> (continuous, SCU, Energy Star)</t>
    </r>
  </si>
  <si>
    <t>Dishwasher - multi-tank conveyor (low temperature)</t>
  </si>
  <si>
    <t>Dishwasher - multi-tank conveyor (low temperature, Energy Star)</t>
  </si>
  <si>
    <t>Dishwasher - single-tank conveyor (high temperature, Energy Star)</t>
  </si>
  <si>
    <t>Dishwasher - single-tank conveyor (low temperature)</t>
  </si>
  <si>
    <t>Dishwasher - stationary single-tank door (high temperature)</t>
  </si>
  <si>
    <t>Dishwasher - stationary single-tank door (high temperature, Energy Star)</t>
  </si>
  <si>
    <t>Dishwasher - stationary single-tank door (low temperature, Energy Star)</t>
  </si>
  <si>
    <t>Dishwasher - under counter (high temperature)</t>
  </si>
  <si>
    <t>Dishwasher - under counter (high temperature, Energy Star)</t>
  </si>
  <si>
    <t>Dishwasher - under counter (low temperature)</t>
  </si>
  <si>
    <t>Dishwasher - under counter (low temperature, Energy Star)</t>
  </si>
  <si>
    <t>Dishwasher - multi-tank conveyor (high temperature)</t>
  </si>
  <si>
    <t>Dishwasher - multi-tank conveyor (high temperature, Energy Star)</t>
  </si>
  <si>
    <t>Dishwasher - pot, pan, and utensil (high temperature)</t>
  </si>
  <si>
    <t>Dishwasher - pot, pan, and utensil (high temperature, Energy Star)</t>
  </si>
  <si>
    <t>Dishwasher - single-tank conveyor (high temperature)</t>
  </si>
  <si>
    <t>Dishwasher - single-tank conveyor (low temperature, Energy Star)</t>
  </si>
  <si>
    <t>Dishwasher - stationary single-tank door (low temperature)</t>
  </si>
  <si>
    <t>Freezer - glass door</t>
  </si>
  <si>
    <t>Freezer - glass door ( Energy Star)</t>
  </si>
  <si>
    <t>Freezer - solid door</t>
  </si>
  <si>
    <t xml:space="preserve">Freezer - solid door ( Energy Star) </t>
  </si>
  <si>
    <t>Refrigerator - glass door</t>
  </si>
  <si>
    <t>Refrigerator - glass door ( Energy Star)</t>
  </si>
  <si>
    <t>Refrigerator - solid door</t>
  </si>
  <si>
    <t xml:space="preserve">Refrigerator - solid door ( Energy Star) </t>
  </si>
  <si>
    <r>
      <t xml:space="preserve">Ventilation - small (fan capacity </t>
    </r>
    <r>
      <rPr>
        <sz val="11"/>
        <color indexed="8"/>
        <rFont val="Calibri"/>
        <family val="2"/>
      </rPr>
      <t>≤</t>
    </r>
    <r>
      <rPr>
        <sz val="11"/>
        <color indexed="8"/>
        <rFont val="Arial"/>
        <family val="2"/>
      </rPr>
      <t xml:space="preserve"> 9,000)</t>
    </r>
  </si>
  <si>
    <t>Ventilation - medium (fan capacity between 9,000 and 20,000)</t>
  </si>
  <si>
    <r>
      <t xml:space="preserve">Ventilation - large (fan capacity </t>
    </r>
    <r>
      <rPr>
        <sz val="11"/>
        <color indexed="8"/>
        <rFont val="Calibri"/>
        <family val="2"/>
      </rPr>
      <t>≥</t>
    </r>
    <r>
      <rPr>
        <sz val="11"/>
        <color indexed="8"/>
        <rFont val="Arial"/>
        <family val="2"/>
      </rPr>
      <t xml:space="preserve"> 20,000)</t>
    </r>
  </si>
  <si>
    <t>Audio/visual</t>
  </si>
  <si>
    <t>Commercial cooking equipment</t>
  </si>
  <si>
    <t>Commercial office equipment</t>
  </si>
  <si>
    <t>Professional signage (less than 35")</t>
  </si>
  <si>
    <t>Professional signage (less than 35", Energy Star)</t>
  </si>
  <si>
    <t>Professional signage (35–44.9")</t>
  </si>
  <si>
    <t>Professional signage (35–44.9", Energy Star)</t>
  </si>
  <si>
    <t>Professional signage (45–49.9")</t>
  </si>
  <si>
    <t>Professional signage (45–49.9", Energy Star)</t>
  </si>
  <si>
    <t>Professional signage (50–60")</t>
  </si>
  <si>
    <t>Professional signage (50–60", Energy Star)</t>
  </si>
  <si>
    <t>Desktop phone (fast Ethernet)</t>
  </si>
  <si>
    <t>Desktop phone (fast Ethernet, Energy Star)</t>
  </si>
  <si>
    <t>Desktop phone (gigabit Ethernet)</t>
  </si>
  <si>
    <t>Desktop phone (gigabit Ethernet, Energy Star)</t>
  </si>
  <si>
    <t>Conference phone</t>
  </si>
  <si>
    <t>Conference phone (Energy Star)</t>
  </si>
  <si>
    <t>Color copier (standard format)</t>
  </si>
  <si>
    <t>Color copier (standard format, Energy Star)</t>
  </si>
  <si>
    <t>Color copier (large format)</t>
  </si>
  <si>
    <t>Color copier (large format, Energy Star)</t>
  </si>
  <si>
    <t>Printer (Inkjet), Energy Star</t>
  </si>
  <si>
    <t xml:space="preserve">Server (Dell modular Blade Enclosure with 8-blade server)  </t>
  </si>
  <si>
    <t>Network switch</t>
  </si>
  <si>
    <t>External hard drive</t>
  </si>
  <si>
    <t>Integrated access device (cable modem and router)</t>
  </si>
  <si>
    <t>Integrated access device (DSL modem and router)</t>
  </si>
  <si>
    <t>Docking station</t>
  </si>
  <si>
    <t>Stationary bike</t>
  </si>
  <si>
    <t>Ice machine</t>
  </si>
  <si>
    <t>Computer/network</t>
  </si>
  <si>
    <t>Gym and training equipment</t>
  </si>
  <si>
    <t>Lab equipment</t>
  </si>
  <si>
    <t>Lab freezer (under counter at -20)</t>
  </si>
  <si>
    <t>Lab freezer (full-sized, upright/ chest at -20)</t>
  </si>
  <si>
    <t>Lab freezer (full-sized, upright/ chest at -80)</t>
  </si>
  <si>
    <t>Autoclave (countertop)</t>
  </si>
  <si>
    <t>Centrifuge (mini)</t>
  </si>
  <si>
    <t>Centrifuge (countertop)</t>
  </si>
  <si>
    <t>Lab refrigerator (under counter)</t>
  </si>
  <si>
    <t>Lab refrigerator (full-sized)</t>
  </si>
  <si>
    <t>Incubator (countertop, shaking)</t>
  </si>
  <si>
    <t>Incubator (countertop, not shaking)</t>
  </si>
  <si>
    <t>Incubator floor-mounted, shaking)</t>
  </si>
  <si>
    <t>Autoclave (floor-mounted)</t>
  </si>
  <si>
    <t>Centrifuge (floor-mounted)</t>
  </si>
  <si>
    <t>Incubator floor-mounted, not shaking)</t>
  </si>
  <si>
    <t>Vortex mixer</t>
  </si>
  <si>
    <t>Shake table (countertop)</t>
  </si>
  <si>
    <t>Shake table (floor-mounted)</t>
  </si>
  <si>
    <t>Hot plate</t>
  </si>
  <si>
    <t>Water bath (shaking)</t>
  </si>
  <si>
    <t>Water bath (not shaking)</t>
  </si>
  <si>
    <t>Exit sign - incandescent</t>
  </si>
  <si>
    <t>Vending machine  (without vending miser)</t>
  </si>
  <si>
    <t>Vending machine (with vending miser)</t>
  </si>
  <si>
    <t>Water cooler (cold only)</t>
  </si>
  <si>
    <t>Water cooler (hot only)</t>
  </si>
  <si>
    <t xml:space="preserve">Water cooler (hot and cold) </t>
  </si>
  <si>
    <t>Medical imaging equipment</t>
  </si>
  <si>
    <t>Notes: — = no data; ACEEE = American Council for an Energy-Efficient Economy; CRT = cathode ray tube; DOE = US Department of Energy; DVR = digital video recorder; GB = gigabyte; kWh = kilowatt-hour; LBNL = Lawrence Berkeley National Laboratory; LCD = liquid crystal display; LED = light-emitting diode; NA = not available; NRDC = Natural Resources Defense Council; PG&amp;E = Pacific Gas and Electric Co.; W = watt; IMH = ice-making head; SCU = self-contained unit;           RCU = remote condensing unit.
a. The GE Home Appliance Energy Use: Data Visualization website includes data from Energy Star (including consultant work), LBNL, DOE, electric utilities such as PG&amp;E, and consumer reports.
b. Calculated using an average cycle length of two hours and a typical usage of four cycles per week.
c. Assumes same usage pattern as a DVD or Blu-ray player.</t>
  </si>
  <si>
    <t>https://www.energystar.gov/sites/default/files/asset/document/Office%20Equipment%20Calculator.xlsx</t>
  </si>
  <si>
    <t>Energy Star Appliance Calculator</t>
  </si>
  <si>
    <t>https://www.energystar.gov/sites/default/files/asset/document/appliance_calculator.xlsx</t>
  </si>
  <si>
    <t>Energy Star Office Equipment Calculator</t>
  </si>
  <si>
    <t>Energy Star Commercial Kitchen Equipment Calculator</t>
  </si>
  <si>
    <t>https://www.energystar.gov/sites/default/files/asset/document/commercial_kitchen_equipment_calculator_0.xlsx</t>
  </si>
  <si>
    <t>AV receiver with surround sound processor</t>
  </si>
  <si>
    <t>http://aceee_d7.balanceinteractive.org/home-electronics#powermodes</t>
  </si>
  <si>
    <t>Surround sound speakers</t>
  </si>
  <si>
    <t>Whole-home audio system</t>
  </si>
  <si>
    <t>https://www.nyserda.ny.gov/-/media/Files/EERP/Residential/Power-Management-Research-Report.pdf</t>
  </si>
  <si>
    <t>http://aceee.org/files/proceedings/2010/data/papers/2215.pdf</t>
  </si>
  <si>
    <t>Electric cars</t>
  </si>
  <si>
    <t>Home office equipment</t>
  </si>
  <si>
    <t>Desk lamp (CFL bulb)</t>
  </si>
  <si>
    <t>ACEEE Study on Energy Efficiency in Buildings</t>
  </si>
  <si>
    <t>Desk lamp (LED bulb)</t>
  </si>
  <si>
    <t>Digital picture frame</t>
  </si>
  <si>
    <t>Personal printer (Energy Star)</t>
  </si>
  <si>
    <t>Personal printer (networked, Energy Star)</t>
  </si>
  <si>
    <t>Radeon RX 390 gaming laptop</t>
  </si>
  <si>
    <t>Radeon RX 480 gaming laptop</t>
  </si>
  <si>
    <t>Kitchen equipment</t>
  </si>
  <si>
    <t>GE: Home Appliance Energy Use: Data Visualization</t>
  </si>
  <si>
    <t>Coffee machine (multi-pot)</t>
  </si>
  <si>
    <t>Coffee machine (single-cup)</t>
  </si>
  <si>
    <t>Coffee machine (single-pot)</t>
  </si>
  <si>
    <t>Cooktop (gas)</t>
  </si>
  <si>
    <t>EERE:  Energy Conservation Program: Energy Conservation Program: Energy Conservation Standards for Residential Conventional Cooking Products; Supplemental Notice of Proposed Rulemaking (SNOPR)</t>
  </si>
  <si>
    <t>https://www.federalregister.gov/documents/2016/09/30/2016-23660/energy-conservation-program-energy-conservation-standards-for-residential-conventional-cooking</t>
  </si>
  <si>
    <t>Cooktop (open/coil element electric top)</t>
  </si>
  <si>
    <t>Cooktop (smooth element electric top)</t>
  </si>
  <si>
    <t>Electric grill</t>
  </si>
  <si>
    <t xml:space="preserve">Electric kettle (auto-off) </t>
  </si>
  <si>
    <t>Electric kettle (without auto-off)</t>
  </si>
  <si>
    <t xml:space="preserve">Electric stove - conventional </t>
  </si>
  <si>
    <t xml:space="preserve">Electric stove - induction </t>
  </si>
  <si>
    <t>Standard oven (not self-cleaning)</t>
  </si>
  <si>
    <t>Toaster (oven)</t>
  </si>
  <si>
    <t>Toaster (slot)</t>
  </si>
  <si>
    <t>https://www.energystar.gov/sites/default/files/asset/document/ENERGY_STAR_Scoping_Report_Residential_Clothes_Dryers.pdf</t>
  </si>
  <si>
    <t>Miscellaneous plug loads</t>
  </si>
  <si>
    <t>Aquarium (50 gallons)</t>
  </si>
  <si>
    <t>https://energy.gov/energysaver/estimating-appliance-and-home-electronic-energy-use</t>
  </si>
  <si>
    <t>Vacuum cleaner (upright)</t>
  </si>
  <si>
    <t xml:space="preserve">Vacuum cleaner (recharging, handheld) </t>
  </si>
  <si>
    <t>Vacuum cleaner (canister)</t>
  </si>
  <si>
    <t>Security systems (basic, without camera)</t>
  </si>
  <si>
    <t>Portable electric spas</t>
  </si>
  <si>
    <t>Pool pump, Energy Star</t>
  </si>
  <si>
    <t>Pool pump (single-speed)</t>
  </si>
  <si>
    <t>Pool heater</t>
  </si>
  <si>
    <t>Night light (LED)</t>
  </si>
  <si>
    <t>Heated towel rack</t>
  </si>
  <si>
    <t>Heated toilet seat</t>
  </si>
  <si>
    <t>Garage door opener</t>
  </si>
  <si>
    <t>Hair dryer</t>
  </si>
  <si>
    <t>Bottom mounted freezer with through-the-door ice, (automatic defrost), Energy Star</t>
  </si>
  <si>
    <t>Freezer - chest freezer</t>
  </si>
  <si>
    <t xml:space="preserve">Freezer - chest freezer, Energy Star </t>
  </si>
  <si>
    <t>Freezer - compact chest freezer</t>
  </si>
  <si>
    <t xml:space="preserve">Freezer - compact upright freezer (auto defrost), Energy Star </t>
  </si>
  <si>
    <t xml:space="preserve">Freezer - compact chest freezer, Energy Star </t>
  </si>
  <si>
    <t>Freezer - compact upright freezer (auto defrost)</t>
  </si>
  <si>
    <t>Freezer - compact upright freezer (manual defrost)</t>
  </si>
  <si>
    <t xml:space="preserve">Freezer - compact upright freezer (manual defrost), Energy Star </t>
  </si>
  <si>
    <t>Freezer - upright freezer (automatic defrost)</t>
  </si>
  <si>
    <t xml:space="preserve">Freezer - upright freezer (automatic defrost), Energy Star </t>
  </si>
  <si>
    <t>Freezer - upright freezer (manual defrost)</t>
  </si>
  <si>
    <t xml:space="preserve">Freezer - upright freezer (manual defrost), Energy Star </t>
  </si>
  <si>
    <t>Side-by-side refrigerator and freezer with automatic defrost</t>
  </si>
  <si>
    <t>Side-by-side refrigerator and freezer with automatic defrost and through-the-door ice</t>
  </si>
  <si>
    <t>Side-by-side refrigerator and freezer with manual or partial-auto defrost, Energy Star</t>
  </si>
  <si>
    <t>Smart home</t>
  </si>
  <si>
    <t>Side-by-side refrigerator and freezer with manual or partial-auto defrost and through-the-door ice,                                   Energy Star</t>
  </si>
  <si>
    <t>E Source: Ok Google, How Much Energy Does Alexa Consume?</t>
  </si>
  <si>
    <t>Space conditioning</t>
  </si>
  <si>
    <t>Energy Star Consumer Electronics Calculator</t>
  </si>
  <si>
    <t>https://www.energystar.gov/sites/default/files/asset/document/Consumer_Electronics_Calculator.xlsx</t>
  </si>
  <si>
    <t>Personal grooming tools</t>
  </si>
  <si>
    <t>Refrigeration and freezers</t>
  </si>
  <si>
    <t>Air conditioner (Energy Star)</t>
  </si>
  <si>
    <t>Air purifier (Energy Star)</t>
  </si>
  <si>
    <t>Dehumidifier (Energy Star)</t>
  </si>
  <si>
    <t>Humidifier - portable</t>
  </si>
  <si>
    <t>Humidifier - whole-home</t>
  </si>
  <si>
    <t>Tablets, phones, and accessories</t>
  </si>
  <si>
    <t>Mobile (nonsmart) phone</t>
  </si>
  <si>
    <t>Television peripherals</t>
  </si>
  <si>
    <t>Digital TV adapter (DTA)</t>
  </si>
  <si>
    <t>DVD player</t>
  </si>
  <si>
    <t>DVD player, Energy Star</t>
  </si>
  <si>
    <t>Satellite set-top box (multiroom and DVR)</t>
  </si>
  <si>
    <t>Roku streaming device</t>
  </si>
  <si>
    <t>TV, 21–23"</t>
  </si>
  <si>
    <t>TV, 21–23" (Energy Star)</t>
  </si>
  <si>
    <t>TV, 24–29"</t>
  </si>
  <si>
    <t>TV, 24–29" (Energy Star)</t>
  </si>
  <si>
    <t>TV, 30–34"</t>
  </si>
  <si>
    <t>TV, 30–34" (Energy Star)</t>
  </si>
  <si>
    <t>TV, 35–39"</t>
  </si>
  <si>
    <t>TV, 35–39" (Energy Star)</t>
  </si>
  <si>
    <t>TV, 40–44"</t>
  </si>
  <si>
    <t>TV, 40–44" (Energy Star)</t>
  </si>
  <si>
    <t>TV, 45–49"</t>
  </si>
  <si>
    <t>TV, 45–49" (Energy Star)</t>
  </si>
  <si>
    <t>TV, 50–54"</t>
  </si>
  <si>
    <t>TV, 50–54" (Energy Star)</t>
  </si>
  <si>
    <t>TV, 55–59"</t>
  </si>
  <si>
    <t>TV, 55–59" (Energy Star)</t>
  </si>
  <si>
    <t>TV, 60–64"</t>
  </si>
  <si>
    <t>TV, 60–64" (Energy Star)</t>
  </si>
  <si>
    <t>Personal printer (networked)</t>
  </si>
  <si>
    <t>Personal printer</t>
  </si>
  <si>
    <t>Air conditioner</t>
  </si>
  <si>
    <t>DVD/VCR Player</t>
  </si>
  <si>
    <t>Microsoft Xbox (2005), turned off when not in use</t>
  </si>
  <si>
    <t>Energy Star: How Low Can you Go? Forecast of Game Console Energy Consumption Based on Industry Trends</t>
  </si>
  <si>
    <t>NRDC: Home Idle Load: Devices Wasting Huge Amounts of Electricity when Not in Active Use</t>
  </si>
  <si>
    <t>Desk lamp (halogen bulb)</t>
  </si>
  <si>
    <t>Desk lamp (incandescent bulb)</t>
  </si>
  <si>
    <t>Monitor (LCD Apple monitor)</t>
  </si>
  <si>
    <t>Monitor (LCD PC monitor)</t>
  </si>
  <si>
    <t>Power tool (rechargeable)</t>
  </si>
  <si>
    <t>Energy Saver: Estimating Appliance and Home Electronic Energy Use</t>
  </si>
  <si>
    <t>Satellite set-top box (multiroom)</t>
  </si>
  <si>
    <t>Video game consoles</t>
  </si>
  <si>
    <r>
      <t xml:space="preserve">Plug-load research reports often use different labels for the same energy-use modes. We define three device modes: </t>
    </r>
    <r>
      <rPr>
        <i/>
        <sz val="11"/>
        <color indexed="8"/>
        <rFont val="Arial"/>
        <family val="2"/>
      </rPr>
      <t>Active</t>
    </r>
    <r>
      <rPr>
        <sz val="11"/>
        <color indexed="8"/>
        <rFont val="Arial"/>
        <family val="2"/>
      </rPr>
      <t xml:space="preserve">, in which the device is being used as intended (for example, a user is channel surfing on the TV); </t>
    </r>
    <r>
      <rPr>
        <i/>
        <sz val="11"/>
        <color indexed="8"/>
        <rFont val="Arial"/>
        <family val="2"/>
      </rPr>
      <t>Idle</t>
    </r>
    <r>
      <rPr>
        <sz val="11"/>
        <color indexed="8"/>
        <rFont val="Arial"/>
        <family val="2"/>
      </rPr>
      <t xml:space="preserve">, in which the device is turned on but is in a lower-power mode (for example, a PC going into sleep mode); and </t>
    </r>
    <r>
      <rPr>
        <i/>
        <sz val="11"/>
        <color indexed="8"/>
        <rFont val="Arial"/>
        <family val="2"/>
      </rPr>
      <t>Off</t>
    </r>
    <r>
      <rPr>
        <sz val="11"/>
        <color indexed="8"/>
        <rFont val="Arial"/>
        <family val="2"/>
      </rPr>
      <t>, in which the device is turned off but is still drawing some power (for example, a DVD player that needs to be able to respond to a signal from a remote control).</t>
    </r>
  </si>
  <si>
    <t>Plug-load research reports often use different labels for the same energy-use modes. We define three device modes: Active, in which the device is being used as intended (for example, a user is channel surfing on the TV); Idle, in which the device is turned on but is in a lower-power mode (for example, a PC going into sleep mode); and Off, in which the device is turned off but is still drawing some power (for example, a DVD player that needs to be able to respond to a signal from a remote control).</t>
  </si>
  <si>
    <t>Amazon Echo</t>
  </si>
  <si>
    <t>Amazon Echo 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</si>
</sst>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Verdana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 Narrow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Arial"/>
      <family val="2"/>
    </font>
    <font>
      <b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09D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D49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609D19"/>
      </bottom>
      <diagonal/>
    </border>
    <border>
      <left/>
      <right/>
      <top/>
      <bottom style="thin">
        <color rgb="FFBAD08A"/>
      </bottom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horizontal="right" vertical="top"/>
    </xf>
    <xf numFmtId="0" fontId="16" fillId="2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7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8" fillId="0" borderId="0" xfId="0" applyFont="1"/>
    <xf numFmtId="0" fontId="2" fillId="0" borderId="0" xfId="0" applyFont="1"/>
    <xf numFmtId="0" fontId="14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" fillId="3" borderId="0" xfId="0" applyFont="1" applyFill="1" applyAlignment="1">
      <alignment vertical="top"/>
    </xf>
    <xf numFmtId="0" fontId="14" fillId="0" borderId="0" xfId="0" applyFont="1" applyFill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/>
    </xf>
    <xf numFmtId="0" fontId="14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0" fillId="0" borderId="0" xfId="3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1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1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22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Alignment="1">
      <alignment horizontal="left" wrapText="1"/>
    </xf>
    <xf numFmtId="0" fontId="8" fillId="0" borderId="0" xfId="3" applyFont="1" applyAlignment="1">
      <alignment horizontal="left" wrapText="1"/>
    </xf>
    <xf numFmtId="0" fontId="9" fillId="0" borderId="0" xfId="4" applyFont="1" applyAlignment="1" applyProtection="1">
      <alignment vertical="top"/>
    </xf>
    <xf numFmtId="0" fontId="9" fillId="0" borderId="0" xfId="4" applyFont="1" applyAlignment="1" applyProtection="1">
      <alignment vertical="top" wrapText="1"/>
    </xf>
    <xf numFmtId="0" fontId="9" fillId="2" borderId="0" xfId="4" applyFont="1" applyFill="1" applyAlignment="1" applyProtection="1">
      <alignment horizontal="left" vertical="top" wrapText="1"/>
    </xf>
    <xf numFmtId="0" fontId="23" fillId="4" borderId="0" xfId="0" applyFont="1" applyFill="1" applyAlignment="1">
      <alignment vertical="top" wrapText="1"/>
    </xf>
    <xf numFmtId="0" fontId="23" fillId="4" borderId="0" xfId="0" applyFont="1" applyFill="1" applyAlignment="1">
      <alignment horizontal="center" vertical="top" wrapText="1"/>
    </xf>
    <xf numFmtId="0" fontId="9" fillId="4" borderId="0" xfId="4" applyFont="1" applyFill="1" applyAlignment="1" applyProtection="1">
      <alignment vertical="top" wrapText="1"/>
    </xf>
    <xf numFmtId="0" fontId="14" fillId="0" borderId="0" xfId="0" applyFont="1" applyBorder="1" applyAlignment="1">
      <alignment vertical="top"/>
    </xf>
    <xf numFmtId="0" fontId="23" fillId="0" borderId="6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vertical="top" wrapText="1"/>
    </xf>
    <xf numFmtId="0" fontId="2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0" xfId="0" quotePrefix="1" applyFont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15" fillId="0" borderId="0" xfId="0" applyFont="1" applyBorder="1"/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wrapText="1"/>
    </xf>
    <xf numFmtId="0" fontId="21" fillId="0" borderId="0" xfId="0" applyFont="1" applyAlignment="1"/>
    <xf numFmtId="0" fontId="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top" wrapText="1"/>
    </xf>
    <xf numFmtId="4" fontId="23" fillId="4" borderId="0" xfId="0" applyNumberFormat="1" applyFont="1" applyFill="1" applyAlignment="1">
      <alignment horizontal="center" vertical="top" wrapText="1"/>
    </xf>
    <xf numFmtId="4" fontId="23" fillId="0" borderId="0" xfId="0" applyNumberFormat="1" applyFont="1" applyAlignment="1">
      <alignment horizontal="center" vertical="top" wrapText="1"/>
    </xf>
    <xf numFmtId="4" fontId="16" fillId="2" borderId="0" xfId="0" applyNumberFormat="1" applyFont="1" applyFill="1" applyAlignment="1">
      <alignment vertical="top" wrapText="1"/>
    </xf>
    <xf numFmtId="4" fontId="23" fillId="0" borderId="6" xfId="0" applyNumberFormat="1" applyFont="1" applyBorder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165" fontId="23" fillId="4" borderId="0" xfId="0" applyNumberFormat="1" applyFont="1" applyFill="1" applyAlignment="1">
      <alignment horizontal="center" vertical="top" wrapText="1"/>
    </xf>
    <xf numFmtId="165" fontId="16" fillId="2" borderId="0" xfId="0" applyNumberFormat="1" applyFont="1" applyFill="1" applyAlignment="1">
      <alignment horizontal="right" vertical="top" wrapText="1"/>
    </xf>
    <xf numFmtId="165" fontId="23" fillId="0" borderId="6" xfId="0" applyNumberFormat="1" applyFont="1" applyBorder="1" applyAlignment="1">
      <alignment horizontal="center" vertical="top" wrapText="1"/>
    </xf>
    <xf numFmtId="0" fontId="25" fillId="4" borderId="0" xfId="3" applyFont="1" applyFill="1" applyAlignment="1">
      <alignment vertical="top" wrapText="1"/>
    </xf>
    <xf numFmtId="0" fontId="25" fillId="0" borderId="0" xfId="3" applyFont="1" applyAlignment="1">
      <alignment vertical="top" wrapText="1"/>
    </xf>
    <xf numFmtId="0" fontId="25" fillId="4" borderId="0" xfId="3" applyFont="1" applyFill="1" applyAlignment="1" applyProtection="1">
      <alignment vertical="top" wrapText="1"/>
    </xf>
    <xf numFmtId="0" fontId="25" fillId="0" borderId="0" xfId="3" applyFont="1" applyAlignment="1" applyProtection="1">
      <alignment vertical="top" wrapText="1"/>
    </xf>
    <xf numFmtId="0" fontId="25" fillId="0" borderId="6" xfId="3" applyFont="1" applyBorder="1" applyAlignment="1" applyProtection="1">
      <alignment vertical="top" wrapText="1"/>
    </xf>
    <xf numFmtId="165" fontId="6" fillId="2" borderId="0" xfId="0" applyNumberFormat="1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0" fontId="23" fillId="0" borderId="0" xfId="0" applyFont="1"/>
    <xf numFmtId="0" fontId="23" fillId="4" borderId="0" xfId="0" applyFont="1" applyFill="1" applyAlignment="1">
      <alignment horizontal="left" vertical="top" wrapText="1"/>
    </xf>
    <xf numFmtId="0" fontId="26" fillId="0" borderId="0" xfId="3" applyFont="1"/>
    <xf numFmtId="0" fontId="23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</cellXfs>
  <cellStyles count="10">
    <cellStyle name="Currency 2" xfId="1"/>
    <cellStyle name="Currency 3" xfId="2"/>
    <cellStyle name="Hyperlink" xfId="3" builtinId="8"/>
    <cellStyle name="Hyperlink 2" xfId="4"/>
    <cellStyle name="Normal" xfId="0" builtinId="0"/>
    <cellStyle name="Normal 2" xfId="5"/>
    <cellStyle name="Normal 3" xfId="6"/>
    <cellStyle name="Normal 4" xfId="7"/>
    <cellStyle name="Percent 2" xfId="8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1805940</xdr:colOff>
      <xdr:row>0</xdr:row>
      <xdr:rowOff>41910</xdr:rowOff>
    </xdr:from>
    <xdr:to>
      <xdr:col>9</xdr:col>
      <xdr:colOff>967697</xdr:colOff>
      <xdr:row>6</xdr:row>
      <xdr:rowOff>247622</xdr:rowOff>
    </xdr:to>
    <xdr:sp macro="" textlink="">
      <xdr:nvSpPr>
        <xdr:cNvPr id="2" name="TextBox 1"/>
        <xdr:cNvSpPr txBox="1"/>
      </xdr:nvSpPr>
      <xdr:spPr>
        <a:xfrm>
          <a:off x="1809750" y="38100"/>
          <a:ext cx="8086725" cy="1466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bg1">
                  <a:lumMod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TAS-1700022-002 ||</a:t>
          </a:r>
          <a:r>
            <a:rPr lang="en-US" sz="1100" b="0" baseline="0">
              <a:solidFill>
                <a:schemeClr val="bg1">
                  <a:lumMod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Data Resource || Published: November 2012 || Updated: May 2017</a:t>
          </a:r>
        </a:p>
        <a:p>
          <a:endParaRPr lang="en-US" sz="1200" b="0">
            <a:solidFill>
              <a:schemeClr val="bg1">
                <a:lumMod val="5000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2400" b="1">
              <a:solidFill>
                <a:schemeClr val="accen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Plugging the Plug Load Data Hole</a:t>
          </a:r>
        </a:p>
        <a:p>
          <a:r>
            <a:rPr lang="en-US" sz="2000" b="0">
              <a:solidFill>
                <a:schemeClr val="accen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Plug Loads Spreadsheet</a:t>
          </a:r>
        </a:p>
        <a:p>
          <a:endParaRPr lang="en-US" sz="1100" b="0">
            <a:solidFill>
              <a:sysClr val="windowText" lastClr="000000"/>
            </a:solidFill>
            <a:effectLst/>
            <a:latin typeface="Arial" panose="020B0604020202020204" pitchFamily="34" charset="0"/>
            <a:ea typeface="Verdana" pitchFamily="34" charset="0"/>
            <a:cs typeface="Arial" panose="020B0604020202020204" pitchFamily="34" charset="0"/>
          </a:endParaRPr>
        </a:p>
        <a:p>
          <a:r>
            <a:rPr lang="en-US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itchFamily="34" charset="0"/>
              <a:cs typeface="Arial" panose="020B0604020202020204" pitchFamily="34" charset="0"/>
            </a:rPr>
            <a:t>By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itchFamily="34" charset="0"/>
              <a:cs typeface="Arial" panose="020B0604020202020204" pitchFamily="34" charset="0"/>
            </a:rPr>
            <a:t> Essie Snell, Kaitlin Gelber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0</xdr:col>
      <xdr:colOff>1819275</xdr:colOff>
      <xdr:row>4</xdr:row>
      <xdr:rowOff>47625</xdr:rowOff>
    </xdr:to>
    <xdr:pic>
      <xdr:nvPicPr>
        <xdr:cNvPr id="17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7716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1758315</xdr:colOff>
      <xdr:row>0</xdr:row>
      <xdr:rowOff>0</xdr:rowOff>
    </xdr:from>
    <xdr:to>
      <xdr:col>10</xdr:col>
      <xdr:colOff>448585</xdr:colOff>
      <xdr:row>6</xdr:row>
      <xdr:rowOff>161925</xdr:rowOff>
    </xdr:to>
    <xdr:sp macro="" textlink="">
      <xdr:nvSpPr>
        <xdr:cNvPr id="6" name="TextBox 5"/>
        <xdr:cNvSpPr txBox="1"/>
      </xdr:nvSpPr>
      <xdr:spPr>
        <a:xfrm>
          <a:off x="1758315" y="0"/>
          <a:ext cx="9948820" cy="1419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bg1">
                  <a:lumMod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TAS-1700022-002 ||</a:t>
          </a:r>
          <a:r>
            <a:rPr lang="en-US" sz="1100" b="0" baseline="0">
              <a:solidFill>
                <a:schemeClr val="bg1">
                  <a:lumMod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Data Resource || Published: November 2012 || Updated: May 2017</a:t>
          </a:r>
        </a:p>
        <a:p>
          <a:endParaRPr lang="en-US" sz="1200" b="0">
            <a:solidFill>
              <a:schemeClr val="bg1">
                <a:lumMod val="5000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2400" b="1">
              <a:solidFill>
                <a:schemeClr val="accen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Plugging the Plug Load Data Hole</a:t>
          </a:r>
        </a:p>
        <a:p>
          <a:r>
            <a:rPr lang="en-US" sz="2000" b="0">
              <a:solidFill>
                <a:schemeClr val="accent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Plug Loads Spreadsheet</a:t>
          </a:r>
        </a:p>
        <a:p>
          <a:endParaRPr lang="en-US" sz="1100" b="0">
            <a:solidFill>
              <a:sysClr val="windowText" lastClr="000000"/>
            </a:solidFill>
            <a:effectLst/>
            <a:latin typeface="Arial" panose="020B0604020202020204" pitchFamily="34" charset="0"/>
            <a:ea typeface="Verdana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Verdana" pitchFamily="34" charset="0"/>
              <a:cs typeface="Arial" panose="020B0604020202020204" pitchFamily="34" charset="0"/>
            </a:rPr>
            <a:t>By Essie Snell, Kaitlin Gelber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1771650</xdr:colOff>
      <xdr:row>4</xdr:row>
      <xdr:rowOff>28575</xdr:rowOff>
    </xdr:to>
    <xdr:pic>
      <xdr:nvPicPr>
        <xdr:cNvPr id="23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771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21" Type="http://schemas.openxmlformats.org/officeDocument/2006/relationships/hyperlink" Target="http://aceee.org/files/proceedings/2010/data/papers/2215.pdf" TargetMode="External"/><Relationship Id="rId42" Type="http://schemas.openxmlformats.org/officeDocument/2006/relationships/hyperlink" Target="https://www.energystar.gov/sites/default/files/asset/document/Consumer_Electronics_Calculator.xlsx" TargetMode="External"/><Relationship Id="rId63" Type="http://schemas.openxmlformats.org/officeDocument/2006/relationships/hyperlink" Target="http://www.cta.tech/CTA/media/policyImages/Energy-Consumption-of-Consumer-Electronics.pdf" TargetMode="External"/><Relationship Id="rId84" Type="http://schemas.openxmlformats.org/officeDocument/2006/relationships/hyperlink" Target="https://link.springer.com/article/10.1007/s12053-016-9503-2" TargetMode="External"/><Relationship Id="rId138" Type="http://schemas.openxmlformats.org/officeDocument/2006/relationships/hyperlink" Target="https://greentransportation.info/energy-transportation/kwh-evcars-gizmos.html" TargetMode="External"/><Relationship Id="rId159" Type="http://schemas.openxmlformats.org/officeDocument/2006/relationships/hyperlink" Target="https://www.energystar.gov/sites/default/files/asset/document/appliance_calculator.xlsx" TargetMode="External"/><Relationship Id="rId170" Type="http://schemas.openxmlformats.org/officeDocument/2006/relationships/hyperlink" Target="https://www.nrdc.org/sites/default/files/home-idle-load-IP.pdf" TargetMode="External"/><Relationship Id="rId191" Type="http://schemas.openxmlformats.org/officeDocument/2006/relationships/hyperlink" Target="https://www.energystar.gov/sites/default/files/asset/document/appliance_calculator.xlsx" TargetMode="External"/><Relationship Id="rId205" Type="http://schemas.openxmlformats.org/officeDocument/2006/relationships/hyperlink" Target="https://www.energystar.gov/sites/default/files/asset/document/appliance_calculator.xlsx" TargetMode="External"/><Relationship Id="rId226" Type="http://schemas.openxmlformats.org/officeDocument/2006/relationships/hyperlink" Target="https://www.energystar.gov/sites/default/files/asset/document/ENERGY_STAR_Scoping_Report_Residential_Humidifiers.pdf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https://link.springer.com/article/10.1007/s12053-016-9503-2" TargetMode="External"/><Relationship Id="rId11" Type="http://schemas.openxmlformats.org/officeDocument/2006/relationships/hyperlink" Target="http://www.ce.org/CorporateSite/files/e4/e4d65f2d-bbd3-49f5-b3d6-8634268aa055.pdf" TargetMode="External"/><Relationship Id="rId32" Type="http://schemas.openxmlformats.org/officeDocument/2006/relationships/hyperlink" Target="https://www.energystar.gov/sites/default/files/asset/document/Consumer_Electronics_Calculator.xlsx" TargetMode="External"/><Relationship Id="rId53" Type="http://schemas.openxmlformats.org/officeDocument/2006/relationships/hyperlink" Target="https://www.energystar.gov/sites/default/files/asset/document/Consumer_Electronics_Calculator.xlsx" TargetMode="External"/><Relationship Id="rId74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28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9" Type="http://schemas.openxmlformats.org/officeDocument/2006/relationships/hyperlink" Target="https://www.federalregister.gov/documents/2016/09/30/2016-23660/energy-conservation-program-energy-conservation-standards-for-residential-conventional-cooking" TargetMode="External"/><Relationship Id="rId5" Type="http://schemas.openxmlformats.org/officeDocument/2006/relationships/hyperlink" Target="http://www.ce.org/CorporateSite/files/e4/e4d65f2d-bbd3-49f5-b3d6-8634268aa055.pdf" TargetMode="External"/><Relationship Id="rId95" Type="http://schemas.openxmlformats.org/officeDocument/2006/relationships/hyperlink" Target="https://link.springer.com/article/10.1007/s12053-016-9503-2" TargetMode="External"/><Relationship Id="rId160" Type="http://schemas.openxmlformats.org/officeDocument/2006/relationships/hyperlink" Target="https://www.energystar.gov/sites/default/files/asset/document/appliance_calculator.xlsx" TargetMode="External"/><Relationship Id="rId181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216" Type="http://schemas.openxmlformats.org/officeDocument/2006/relationships/hyperlink" Target="https://www.energystar.gov/sites/default/files/asset/document/appliance_calculator.xlsx" TargetMode="External"/><Relationship Id="rId237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2" Type="http://schemas.openxmlformats.org/officeDocument/2006/relationships/hyperlink" Target="https://www.energystar.gov/sites/default/files/asset/document/ENERGY_STAR_Scoping_Report_Residential_Clothes_Dryers.pdf" TargetMode="External"/><Relationship Id="rId43" Type="http://schemas.openxmlformats.org/officeDocument/2006/relationships/hyperlink" Target="https://www.energystar.gov/sites/default/files/asset/document/Consumer_Electronics_Calculator.xlsx" TargetMode="External"/><Relationship Id="rId64" Type="http://schemas.openxmlformats.org/officeDocument/2006/relationships/hyperlink" Target="http://www.cta.tech/CTA/media/policyImages/Energy-Consumption-of-Consumer-Electronics.pdf" TargetMode="External"/><Relationship Id="rId118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9" Type="http://schemas.openxmlformats.org/officeDocument/2006/relationships/hyperlink" Target="https://greentransportation.info/energy-transportation/kwh-evcars-gizmos.html" TargetMode="External"/><Relationship Id="rId85" Type="http://schemas.openxmlformats.org/officeDocument/2006/relationships/hyperlink" Target="https://link.springer.com/article/10.1007/s12053-016-9503-2" TargetMode="External"/><Relationship Id="rId150" Type="http://schemas.openxmlformats.org/officeDocument/2006/relationships/hyperlink" Target="https://www.federalregister.gov/documents/2016/09/30/2016-23660/energy-conservation-program-energy-conservation-standards-for-residential-conventional-cooking" TargetMode="External"/><Relationship Id="rId171" Type="http://schemas.openxmlformats.org/officeDocument/2006/relationships/hyperlink" Target="https://www.nrdc.org/sites/default/files/home-idle-load-IP.pdf" TargetMode="External"/><Relationship Id="rId192" Type="http://schemas.openxmlformats.org/officeDocument/2006/relationships/hyperlink" Target="https://www.energystar.gov/sites/default/files/asset/document/appliance_calculator.xlsx" TargetMode="External"/><Relationship Id="rId206" Type="http://schemas.openxmlformats.org/officeDocument/2006/relationships/hyperlink" Target="https://www.energystar.gov/sites/default/files/asset/document/appliance_calculator.xlsx" TargetMode="External"/><Relationship Id="rId227" Type="http://schemas.openxmlformats.org/officeDocument/2006/relationships/hyperlink" Target="https://www.nrdc.org/experts/noah-horowitz/national-energy-use-pay-tv-set-top-boxes-heading-down" TargetMode="External"/><Relationship Id="rId248" Type="http://schemas.openxmlformats.org/officeDocument/2006/relationships/drawing" Target="../drawings/drawing1.xml"/><Relationship Id="rId12" Type="http://schemas.openxmlformats.org/officeDocument/2006/relationships/hyperlink" Target="https://www.cta.tech/CTA/media/policyImages/Energy-Consumption-of-Consumer-Electronics.pdf" TargetMode="External"/><Relationship Id="rId17" Type="http://schemas.openxmlformats.org/officeDocument/2006/relationships/hyperlink" Target="http://aceee_d7.balanceinteractive.org/home-electronics" TargetMode="External"/><Relationship Id="rId33" Type="http://schemas.openxmlformats.org/officeDocument/2006/relationships/hyperlink" Target="https://www.energystar.gov/sites/default/files/asset/document/Consumer_Electronics_Calculator.xlsx" TargetMode="External"/><Relationship Id="rId38" Type="http://schemas.openxmlformats.org/officeDocument/2006/relationships/hyperlink" Target="https://www.energystar.gov/sites/default/files/asset/document/Consumer_Electronics_Calculator.xlsx" TargetMode="External"/><Relationship Id="rId59" Type="http://schemas.openxmlformats.org/officeDocument/2006/relationships/hyperlink" Target="http://www.cta.tech/CTA/media/policyImages/Energy-Consumption-of-Consumer-Electronics.pdf" TargetMode="External"/><Relationship Id="rId103" Type="http://schemas.openxmlformats.org/officeDocument/2006/relationships/hyperlink" Target="https://link.springer.com/article/10.1007/s12053-016-9503-2" TargetMode="External"/><Relationship Id="rId108" Type="http://schemas.openxmlformats.org/officeDocument/2006/relationships/hyperlink" Target="https://link.springer.com/article/10.1007/s12053-016-9503-2" TargetMode="External"/><Relationship Id="rId124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29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54" Type="http://schemas.openxmlformats.org/officeDocument/2006/relationships/hyperlink" Target="https://www.energystar.gov/sites/default/files/asset/document/Consumer_Electronics_Calculator.xlsx" TargetMode="External"/><Relationship Id="rId70" Type="http://schemas.openxmlformats.org/officeDocument/2006/relationships/hyperlink" Target="http://www.cta.tech/CTA/media/policyImages/Energy-Consumption-of-Consumer-Electronics.pdf" TargetMode="External"/><Relationship Id="rId75" Type="http://schemas.openxmlformats.org/officeDocument/2006/relationships/hyperlink" Target="https://www.nrdc.org/sites/default/files/home-idle-load-IP.pdf" TargetMode="External"/><Relationship Id="rId91" Type="http://schemas.openxmlformats.org/officeDocument/2006/relationships/hyperlink" Target="https://link.springer.com/article/10.1007/s12053-016-9503-2" TargetMode="External"/><Relationship Id="rId96" Type="http://schemas.openxmlformats.org/officeDocument/2006/relationships/hyperlink" Target="https://link.springer.com/article/10.1007/s12053-016-9503-2" TargetMode="External"/><Relationship Id="rId140" Type="http://schemas.openxmlformats.org/officeDocument/2006/relationships/hyperlink" Target="https://greentransportation.info/energy-transportation/kwh-evcars-gizmos.html" TargetMode="External"/><Relationship Id="rId145" Type="http://schemas.openxmlformats.org/officeDocument/2006/relationships/hyperlink" Target="https://greentransportation.info/energy-transportation/kwh-evcars-gizmos.html" TargetMode="External"/><Relationship Id="rId161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66" Type="http://schemas.openxmlformats.org/officeDocument/2006/relationships/hyperlink" Target="https://www.energystar.gov/sites/default/files/asset/document/appliance_calculator.xlsx" TargetMode="External"/><Relationship Id="rId182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87" Type="http://schemas.openxmlformats.org/officeDocument/2006/relationships/hyperlink" Target="https://www.energystar.gov/sites/default/files/asset/document/appliance_calculator.xlsx" TargetMode="External"/><Relationship Id="rId217" Type="http://schemas.openxmlformats.org/officeDocument/2006/relationships/hyperlink" Target="https://www.energystar.gov/sites/default/files/asset/document/appliance_calculator.xlsx" TargetMode="External"/><Relationship Id="rId1" Type="http://schemas.openxmlformats.org/officeDocument/2006/relationships/hyperlink" Target="https://www.esource.com/tas-1700022-001/plugging-plug-load-data-hole" TargetMode="External"/><Relationship Id="rId6" Type="http://schemas.openxmlformats.org/officeDocument/2006/relationships/hyperlink" Target="http://www.ce.org/CorporateSite/files/e4/e4d65f2d-bbd3-49f5-b3d6-8634268aa055.pdf" TargetMode="External"/><Relationship Id="rId212" Type="http://schemas.openxmlformats.org/officeDocument/2006/relationships/hyperlink" Target="https://www.energystar.gov/sites/default/files/asset/document/appliance_calculator.xlsx" TargetMode="External"/><Relationship Id="rId233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38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3" Type="http://schemas.openxmlformats.org/officeDocument/2006/relationships/hyperlink" Target="https://www.energystar.gov/sites/default/files/asset/document/ENERGY_STAR_Scoping_Report_Residential_Clothes_Dryers.pdf" TargetMode="External"/><Relationship Id="rId28" Type="http://schemas.openxmlformats.org/officeDocument/2006/relationships/hyperlink" Target="https://www.energystar.gov/sites/default/files/asset/document/Consumer_Electronics_Calculator.xlsx" TargetMode="External"/><Relationship Id="rId49" Type="http://schemas.openxmlformats.org/officeDocument/2006/relationships/hyperlink" Target="https://www.energystar.gov/sites/default/files/asset/document/Consumer_Electronics_Calculator.xlsx" TargetMode="External"/><Relationship Id="rId114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19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44" Type="http://schemas.openxmlformats.org/officeDocument/2006/relationships/hyperlink" Target="https://www.energystar.gov/sites/default/files/asset/document/Consumer_Electronics_Calculator.xlsx" TargetMode="External"/><Relationship Id="rId60" Type="http://schemas.openxmlformats.org/officeDocument/2006/relationships/hyperlink" Target="http://www.cta.tech/CTA/media/policyImages/Energy-Consumption-of-Consumer-Electronics.pdf" TargetMode="External"/><Relationship Id="rId65" Type="http://schemas.openxmlformats.org/officeDocument/2006/relationships/hyperlink" Target="http://www.cta.tech/CTA/media/policyImages/Energy-Consumption-of-Consumer-Electronics.pdf" TargetMode="External"/><Relationship Id="rId81" Type="http://schemas.openxmlformats.org/officeDocument/2006/relationships/hyperlink" Target="https://link.springer.com/article/10.1007/s12053-016-9503-2" TargetMode="External"/><Relationship Id="rId86" Type="http://schemas.openxmlformats.org/officeDocument/2006/relationships/hyperlink" Target="http://aceee.org/files/proceedings/2014/data/papers/9-110.pdf" TargetMode="External"/><Relationship Id="rId130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5" Type="http://schemas.openxmlformats.org/officeDocument/2006/relationships/hyperlink" Target="http://www.fueleconomy.gov/feg/PowerSearch.do?action=noform&amp;path=1&amp;year1=2015&amp;year2=2017&amp;vtype=Electric" TargetMode="External"/><Relationship Id="rId151" Type="http://schemas.openxmlformats.org/officeDocument/2006/relationships/hyperlink" Target="https://www.federalregister.gov/documents/2016/09/30/2016-23660/energy-conservation-program-energy-conservation-standards-for-residential-conventional-cooking" TargetMode="External"/><Relationship Id="rId156" Type="http://schemas.openxmlformats.org/officeDocument/2006/relationships/hyperlink" Target="https://energy.gov/sites/prod/files/2015/06/f22/residential_ovens_nopr.pdf" TargetMode="External"/><Relationship Id="rId177" Type="http://schemas.openxmlformats.org/officeDocument/2006/relationships/hyperlink" Target="https://www.nrdc.org/sites/default/files/home-idle-load-IP.pdf" TargetMode="External"/><Relationship Id="rId198" Type="http://schemas.openxmlformats.org/officeDocument/2006/relationships/hyperlink" Target="https://www.energystar.gov/sites/default/files/asset/document/appliance_calculator.xlsx" TargetMode="External"/><Relationship Id="rId172" Type="http://schemas.openxmlformats.org/officeDocument/2006/relationships/hyperlink" Target="http://www.loup.com/docs/energysvc/energywise/EW-Tip-LEDsNiteLites.pdf" TargetMode="External"/><Relationship Id="rId193" Type="http://schemas.openxmlformats.org/officeDocument/2006/relationships/hyperlink" Target="https://www.energystar.gov/sites/default/files/asset/document/appliance_calculator.xlsx" TargetMode="External"/><Relationship Id="rId202" Type="http://schemas.openxmlformats.org/officeDocument/2006/relationships/hyperlink" Target="https://www.energystar.gov/sites/default/files/asset/document/appliance_calculator.xlsx" TargetMode="External"/><Relationship Id="rId207" Type="http://schemas.openxmlformats.org/officeDocument/2006/relationships/hyperlink" Target="https://www.energystar.gov/sites/default/files/asset/document/appliance_calculator.xlsx" TargetMode="External"/><Relationship Id="rId223" Type="http://schemas.openxmlformats.org/officeDocument/2006/relationships/hyperlink" Target="https://www.energystar.gov/sites/default/files/asset/document/appliance_calculator.xlsx" TargetMode="External"/><Relationship Id="rId228" Type="http://schemas.openxmlformats.org/officeDocument/2006/relationships/hyperlink" Target="https://www.nrdc.org/experts/noah-horowitz/national-energy-use-pay-tv-set-top-boxes-heading-down" TargetMode="External"/><Relationship Id="rId244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" Type="http://schemas.openxmlformats.org/officeDocument/2006/relationships/hyperlink" Target="http://www.eia.gov/analysis/studies/demand/miscelectric/pdf/miscelectric.pdf" TargetMode="External"/><Relationship Id="rId18" Type="http://schemas.openxmlformats.org/officeDocument/2006/relationships/hyperlink" Target="http://www.esource.com/members/TAS-TN-12-07c/Tech-News/Energy-Use-of-TVs" TargetMode="External"/><Relationship Id="rId39" Type="http://schemas.openxmlformats.org/officeDocument/2006/relationships/hyperlink" Target="https://www.energystar.gov/sites/default/files/asset/document/Consumer_Electronics_Calculator.xlsx" TargetMode="External"/><Relationship Id="rId109" Type="http://schemas.openxmlformats.org/officeDocument/2006/relationships/hyperlink" Target="https://link.springer.com/article/10.1007/s12053-016-9503-2" TargetMode="External"/><Relationship Id="rId34" Type="http://schemas.openxmlformats.org/officeDocument/2006/relationships/hyperlink" Target="http://www.esource.com/members/TAS-TN-12-07c/Tech-News/Energy-Use-of-TVs" TargetMode="External"/><Relationship Id="rId50" Type="http://schemas.openxmlformats.org/officeDocument/2006/relationships/hyperlink" Target="https://www.energystar.gov/sites/default/files/asset/document/Consumer_Electronics_Calculator.xlsx" TargetMode="External"/><Relationship Id="rId55" Type="http://schemas.openxmlformats.org/officeDocument/2006/relationships/hyperlink" Target="http://www.ce.org/CorporateSite/files/e4/e4d65f2d-bbd3-49f5-b3d6-8634268aa055.pdf" TargetMode="External"/><Relationship Id="rId76" Type="http://schemas.openxmlformats.org/officeDocument/2006/relationships/hyperlink" Target="https://link.springer.com/article/10.1007/s12053-016-9503-2" TargetMode="External"/><Relationship Id="rId97" Type="http://schemas.openxmlformats.org/officeDocument/2006/relationships/hyperlink" Target="https://link.springer.com/article/10.1007/s12053-016-9503-2" TargetMode="External"/><Relationship Id="rId104" Type="http://schemas.openxmlformats.org/officeDocument/2006/relationships/hyperlink" Target="https://link.springer.com/article/10.1007/s12053-016-9503-2" TargetMode="External"/><Relationship Id="rId120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25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1" Type="http://schemas.openxmlformats.org/officeDocument/2006/relationships/hyperlink" Target="https://greentransportation.info/energy-transportation/kwh-evcars-gizmos.html" TargetMode="External"/><Relationship Id="rId146" Type="http://schemas.openxmlformats.org/officeDocument/2006/relationships/hyperlink" Target="http://www.fueleconomy.gov/feg/PowerSearch.do?action=noform&amp;path=1&amp;year1=2015&amp;year2=2017&amp;vtype=Electric" TargetMode="External"/><Relationship Id="rId167" Type="http://schemas.openxmlformats.org/officeDocument/2006/relationships/hyperlink" Target="https://www.energystar.gov/sites/default/files/asset/document/appliance_calculator.xlsx" TargetMode="External"/><Relationship Id="rId188" Type="http://schemas.openxmlformats.org/officeDocument/2006/relationships/hyperlink" Target="https://www.energystar.gov/sites/default/files/asset/document/appliance_calculator.xlsx" TargetMode="External"/><Relationship Id="rId7" Type="http://schemas.openxmlformats.org/officeDocument/2006/relationships/hyperlink" Target="http://www.ce.org/CorporateSite/files/e4/e4d65f2d-bbd3-49f5-b3d6-8634268aa055.pdf" TargetMode="External"/><Relationship Id="rId71" Type="http://schemas.openxmlformats.org/officeDocument/2006/relationships/hyperlink" Target="http://www.cta.tech/CTA/media/policyImages/Energy-Consumption-of-Consumer-Electronics.pdf" TargetMode="External"/><Relationship Id="rId92" Type="http://schemas.openxmlformats.org/officeDocument/2006/relationships/hyperlink" Target="https://link.springer.com/article/10.1007/s12053-016-9503-2" TargetMode="External"/><Relationship Id="rId162" Type="http://schemas.openxmlformats.org/officeDocument/2006/relationships/hyperlink" Target="https://www.energystar.gov/sites/default/files/asset/document/appliance_calculator.xlsx" TargetMode="External"/><Relationship Id="rId183" Type="http://schemas.openxmlformats.org/officeDocument/2006/relationships/hyperlink" Target="https://www.energystar.gov/sites/default/files/asset/document/appliance_calculator.xlsx" TargetMode="External"/><Relationship Id="rId213" Type="http://schemas.openxmlformats.org/officeDocument/2006/relationships/hyperlink" Target="https://www.energystar.gov/sites/default/files/asset/document/appliance_calculator.xlsx" TargetMode="External"/><Relationship Id="rId218" Type="http://schemas.openxmlformats.org/officeDocument/2006/relationships/hyperlink" Target="https://www.esource.com/Blog/ESource/ES-Blog-2-17-17-Voice-Control" TargetMode="External"/><Relationship Id="rId234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39" Type="http://schemas.openxmlformats.org/officeDocument/2006/relationships/hyperlink" Target="https://www.cta.tech/CTA/media/policyImages/Energy-Consumption-of-Consumer-Electronics.pdf" TargetMode="External"/><Relationship Id="rId2" Type="http://schemas.openxmlformats.org/officeDocument/2006/relationships/hyperlink" Target="https://www.cta.tech/CTA/media/policyImages/Energy-Consumption-of-Consumer-Electronics.pdf" TargetMode="External"/><Relationship Id="rId29" Type="http://schemas.openxmlformats.org/officeDocument/2006/relationships/hyperlink" Target="https://www.energystar.gov/sites/default/files/asset/document/Consumer_Electronics_Calculator.xlsx" TargetMode="External"/><Relationship Id="rId24" Type="http://schemas.openxmlformats.org/officeDocument/2006/relationships/hyperlink" Target="http://www.calmac.org/publications/MEL_Literature_Review_6_10_14.pdf" TargetMode="External"/><Relationship Id="rId40" Type="http://schemas.openxmlformats.org/officeDocument/2006/relationships/hyperlink" Target="https://www.energystar.gov/sites/default/files/asset/document/Consumer_Electronics_Calculator.xlsx" TargetMode="External"/><Relationship Id="rId45" Type="http://schemas.openxmlformats.org/officeDocument/2006/relationships/hyperlink" Target="https://www.energystar.gov/sites/default/files/asset/document/Consumer_Electronics_Calculator.xlsx" TargetMode="External"/><Relationship Id="rId66" Type="http://schemas.openxmlformats.org/officeDocument/2006/relationships/hyperlink" Target="http://www.cta.tech/CTA/media/policyImages/Energy-Consumption-of-Consumer-Electronics.pdf" TargetMode="External"/><Relationship Id="rId87" Type="http://schemas.openxmlformats.org/officeDocument/2006/relationships/hyperlink" Target="https://link.springer.com/article/10.1007/s12053-016-9503-2" TargetMode="External"/><Relationship Id="rId110" Type="http://schemas.openxmlformats.org/officeDocument/2006/relationships/hyperlink" Target="https://link.springer.com/article/10.1007/s12053-016-9503-2" TargetMode="External"/><Relationship Id="rId115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1" Type="http://schemas.openxmlformats.org/officeDocument/2006/relationships/hyperlink" Target="https://greentransportation.info/energy-transportation/kwh-evcars-gizmos.html" TargetMode="External"/><Relationship Id="rId136" Type="http://schemas.openxmlformats.org/officeDocument/2006/relationships/hyperlink" Target="http://www.fueleconomy.gov/feg/PowerSearch.do?action=noform&amp;path=1&amp;year1=2015&amp;year2=2017&amp;vtype=Electric" TargetMode="External"/><Relationship Id="rId157" Type="http://schemas.openxmlformats.org/officeDocument/2006/relationships/hyperlink" Target="https://www.energystar.gov/sites/default/files/asset/document/appliance_calculator.xlsx" TargetMode="External"/><Relationship Id="rId178" Type="http://schemas.openxmlformats.org/officeDocument/2006/relationships/hyperlink" Target="http://aceee.org/files/proceedings/2016/data/papers/1_451.pdf" TargetMode="External"/><Relationship Id="rId61" Type="http://schemas.openxmlformats.org/officeDocument/2006/relationships/hyperlink" Target="http://www.cta.tech/CTA/media/policyImages/Energy-Consumption-of-Consumer-Electronics.pdf" TargetMode="External"/><Relationship Id="rId82" Type="http://schemas.openxmlformats.org/officeDocument/2006/relationships/hyperlink" Target="https://link.springer.com/article/10.1007/s12053-016-9503-2" TargetMode="External"/><Relationship Id="rId152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73" Type="http://schemas.openxmlformats.org/officeDocument/2006/relationships/hyperlink" Target="http://www.loup.com/docs/energysvc/energywise/EW-Tip-LEDsNiteLites.pdf" TargetMode="External"/><Relationship Id="rId194" Type="http://schemas.openxmlformats.org/officeDocument/2006/relationships/hyperlink" Target="https://www.energystar.gov/sites/default/files/asset/document/appliance_calculator.xlsx" TargetMode="External"/><Relationship Id="rId199" Type="http://schemas.openxmlformats.org/officeDocument/2006/relationships/hyperlink" Target="https://www.energystar.gov/sites/default/files/asset/document/appliance_calculator.xlsx" TargetMode="External"/><Relationship Id="rId203" Type="http://schemas.openxmlformats.org/officeDocument/2006/relationships/hyperlink" Target="https://www.energystar.gov/sites/default/files/asset/document/appliance_calculator.xlsx" TargetMode="External"/><Relationship Id="rId208" Type="http://schemas.openxmlformats.org/officeDocument/2006/relationships/hyperlink" Target="https://www.energystar.gov/sites/default/files/asset/document/appliance_calculator.xlsx" TargetMode="External"/><Relationship Id="rId229" Type="http://schemas.openxmlformats.org/officeDocument/2006/relationships/hyperlink" Target="https://www.nrdc.org/experts/noah-horowitz/national-energy-use-pay-tv-set-top-boxes-heading-down" TargetMode="External"/><Relationship Id="rId19" Type="http://schemas.openxmlformats.org/officeDocument/2006/relationships/hyperlink" Target="http://aceee.org/files/proceedings/2010/data/papers/2215.pdf" TargetMode="External"/><Relationship Id="rId224" Type="http://schemas.openxmlformats.org/officeDocument/2006/relationships/hyperlink" Target="https://www.energystar.gov/sites/default/files/asset/document/appliance_calculator.xlsx" TargetMode="External"/><Relationship Id="rId240" Type="http://schemas.openxmlformats.org/officeDocument/2006/relationships/hyperlink" Target="https://www.cta.tech/CTA/media/policyImages/Energy-Consumption-of-Consumer-Electronics.pdf" TargetMode="External"/><Relationship Id="rId245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1" TargetMode="External"/><Relationship Id="rId14" Type="http://schemas.openxmlformats.org/officeDocument/2006/relationships/hyperlink" Target="http://www.eia.gov/analysis/studies/demand/miscelectric/pdf/miscelectric.pdf" TargetMode="External"/><Relationship Id="rId30" Type="http://schemas.openxmlformats.org/officeDocument/2006/relationships/hyperlink" Target="https://www.energystar.gov/sites/default/files/asset/document/Consumer_Electronics_Calculator.xlsx" TargetMode="External"/><Relationship Id="rId35" Type="http://schemas.openxmlformats.org/officeDocument/2006/relationships/hyperlink" Target="https://www.energystar.gov/sites/default/files/asset/document/Consumer_Electronics_Calculator.xlsx" TargetMode="External"/><Relationship Id="rId56" Type="http://schemas.openxmlformats.org/officeDocument/2006/relationships/hyperlink" Target="http://www.cta.tech/CTA/media/policyImages/Energy-Consumption-of-Consumer-Electronics.pdf" TargetMode="External"/><Relationship Id="rId77" Type="http://schemas.openxmlformats.org/officeDocument/2006/relationships/hyperlink" Target="https://link.springer.com/article/10.1007/s12053-016-9503-2" TargetMode="External"/><Relationship Id="rId100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05" Type="http://schemas.openxmlformats.org/officeDocument/2006/relationships/hyperlink" Target="https://link.springer.com/article/10.1007/s12053-016-9503-2" TargetMode="External"/><Relationship Id="rId126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7" Type="http://schemas.openxmlformats.org/officeDocument/2006/relationships/hyperlink" Target="https://greentransportation.info/energy-transportation/kwh-evcars-gizmos.html" TargetMode="External"/><Relationship Id="rId168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8" Type="http://schemas.openxmlformats.org/officeDocument/2006/relationships/hyperlink" Target="http://www.ce.org/CorporateSite/files/e4/e4d65f2d-bbd3-49f5-b3d6-8634268aa055.pdf" TargetMode="External"/><Relationship Id="rId51" Type="http://schemas.openxmlformats.org/officeDocument/2006/relationships/hyperlink" Target="https://www.energystar.gov/sites/default/files/asset/document/Consumer_Electronics_Calculator.xlsx" TargetMode="External"/><Relationship Id="rId72" Type="http://schemas.openxmlformats.org/officeDocument/2006/relationships/hyperlink" Target="http://www.cta.tech/CTA/media/policyImages/Energy-Consumption-of-Consumer-Electronics.pdf" TargetMode="External"/><Relationship Id="rId93" Type="http://schemas.openxmlformats.org/officeDocument/2006/relationships/hyperlink" Target="https://link.springer.com/article/10.1007/s12053-016-9503-2" TargetMode="External"/><Relationship Id="rId98" Type="http://schemas.openxmlformats.org/officeDocument/2006/relationships/hyperlink" Target="http://radeon.com/wp-content/uploads/2016/07/Polaris-Carbon-Footprint-Study-07212016.pdf" TargetMode="External"/><Relationship Id="rId121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2" Type="http://schemas.openxmlformats.org/officeDocument/2006/relationships/hyperlink" Target="https://greentransportation.info/energy-transportation/kwh-evcars-gizmos.html" TargetMode="External"/><Relationship Id="rId163" Type="http://schemas.openxmlformats.org/officeDocument/2006/relationships/hyperlink" Target="https://www.energystar.gov/sites/default/files/asset/document/appliance_calculator.xlsx" TargetMode="External"/><Relationship Id="rId184" Type="http://schemas.openxmlformats.org/officeDocument/2006/relationships/hyperlink" Target="https://www.energystar.gov/sites/default/files/asset/document/appliance_calculator.xlsx" TargetMode="External"/><Relationship Id="rId189" Type="http://schemas.openxmlformats.org/officeDocument/2006/relationships/hyperlink" Target="https://www.energystar.gov/sites/default/files/asset/document/appliance_calculator.xlsx" TargetMode="External"/><Relationship Id="rId219" Type="http://schemas.openxmlformats.org/officeDocument/2006/relationships/hyperlink" Target="https://www.esource.com/Blog/ESource/ES-Blog-2-17-17-Voice-Control" TargetMode="External"/><Relationship Id="rId3" Type="http://schemas.openxmlformats.org/officeDocument/2006/relationships/hyperlink" Target="https://www.cta.tech/CTA/media/policyImages/Energy-Consumption-of-Consumer-Electronics.pdf" TargetMode="External"/><Relationship Id="rId214" Type="http://schemas.openxmlformats.org/officeDocument/2006/relationships/hyperlink" Target="https://www.energystar.gov/sites/default/files/asset/document/appliance_calculator.xlsx" TargetMode="External"/><Relationship Id="rId230" Type="http://schemas.openxmlformats.org/officeDocument/2006/relationships/hyperlink" Target="https://www.nrdc.org/experts/noah-horowitz/national-energy-use-pay-tv-set-top-boxes-heading-down" TargetMode="External"/><Relationship Id="rId235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5" Type="http://schemas.openxmlformats.org/officeDocument/2006/relationships/hyperlink" Target="http://www.energystar.gov/ia/business/bulk_purchasing/bpsavings_calc/appliance_calculator.xlsx" TargetMode="External"/><Relationship Id="rId46" Type="http://schemas.openxmlformats.org/officeDocument/2006/relationships/hyperlink" Target="https://www.energystar.gov/sites/default/files/asset/document/Consumer_Electronics_Calculator.xlsx" TargetMode="External"/><Relationship Id="rId67" Type="http://schemas.openxmlformats.org/officeDocument/2006/relationships/hyperlink" Target="http://www.cta.tech/CTA/media/policyImages/Energy-Consumption-of-Consumer-Electronics.pdf" TargetMode="External"/><Relationship Id="rId116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7" Type="http://schemas.openxmlformats.org/officeDocument/2006/relationships/hyperlink" Target="https://greentransportation.info/energy-transportation/kwh-evcars-gizmos.html" TargetMode="External"/><Relationship Id="rId158" Type="http://schemas.openxmlformats.org/officeDocument/2006/relationships/hyperlink" Target="https://www.energystar.gov/sites/default/files/asset/document/appliance_calculator.xlsx" TargetMode="External"/><Relationship Id="rId20" Type="http://schemas.openxmlformats.org/officeDocument/2006/relationships/hyperlink" Target="http://aceee.org/files/proceedings/2010/data/papers/2215.pdf" TargetMode="External"/><Relationship Id="rId41" Type="http://schemas.openxmlformats.org/officeDocument/2006/relationships/hyperlink" Target="https://www.energystar.gov/sites/default/files/asset/document/Consumer_Electronics_Calculator.xlsx" TargetMode="External"/><Relationship Id="rId62" Type="http://schemas.openxmlformats.org/officeDocument/2006/relationships/hyperlink" Target="http://www.cta.tech/CTA/media/policyImages/Energy-Consumption-of-Consumer-Electronics.pdf" TargetMode="External"/><Relationship Id="rId83" Type="http://schemas.openxmlformats.org/officeDocument/2006/relationships/hyperlink" Target="https://link.springer.com/article/10.1007/s12053-016-9503-2" TargetMode="External"/><Relationship Id="rId88" Type="http://schemas.openxmlformats.org/officeDocument/2006/relationships/hyperlink" Target="https://link.springer.com/article/10.1007/s12053-016-9503-2" TargetMode="External"/><Relationship Id="rId111" Type="http://schemas.openxmlformats.org/officeDocument/2006/relationships/hyperlink" Target="https://link.springer.com/article/10.1007/s12053-016-9503-2" TargetMode="External"/><Relationship Id="rId132" Type="http://schemas.openxmlformats.org/officeDocument/2006/relationships/hyperlink" Target="https://www.energystar.gov/productfinder/product/certified-water-heaters/details/2283126" TargetMode="External"/><Relationship Id="rId153" Type="http://schemas.openxmlformats.org/officeDocument/2006/relationships/hyperlink" Target="http://aceee.org/files/proceedings/2014/data/papers/9-702.pdf" TargetMode="External"/><Relationship Id="rId174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79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95" Type="http://schemas.openxmlformats.org/officeDocument/2006/relationships/hyperlink" Target="https://www.energystar.gov/sites/default/files/asset/document/appliance_calculator.xlsx" TargetMode="External"/><Relationship Id="rId209" Type="http://schemas.openxmlformats.org/officeDocument/2006/relationships/hyperlink" Target="https://www.energystar.gov/sites/default/files/asset/document/appliance_calculator.xlsx" TargetMode="External"/><Relationship Id="rId190" Type="http://schemas.openxmlformats.org/officeDocument/2006/relationships/hyperlink" Target="https://www.energystar.gov/sites/default/files/asset/document/appliance_calculator.xlsx" TargetMode="External"/><Relationship Id="rId204" Type="http://schemas.openxmlformats.org/officeDocument/2006/relationships/hyperlink" Target="https://www.energystar.gov/sites/default/files/asset/document/appliance_calculator.xlsx" TargetMode="External"/><Relationship Id="rId220" Type="http://schemas.openxmlformats.org/officeDocument/2006/relationships/hyperlink" Target="https://www.esource.com/Blog/ESource/ES-Blog-2-17-17-Voice-Control" TargetMode="External"/><Relationship Id="rId225" Type="http://schemas.openxmlformats.org/officeDocument/2006/relationships/hyperlink" Target="https://www.energystar.gov/sites/default/files/asset/document/ENERGY_STAR_Scoping_Report_Residential_Humidifiers.pdf" TargetMode="External"/><Relationship Id="rId241" Type="http://schemas.openxmlformats.org/officeDocument/2006/relationships/hyperlink" Target="https://www.nrdc.org/sites/default/files/video-game-consoles-IB.pdf" TargetMode="External"/><Relationship Id="rId246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1" TargetMode="External"/><Relationship Id="rId15" Type="http://schemas.openxmlformats.org/officeDocument/2006/relationships/hyperlink" Target="http://www.energystar.gov/ia/business/bulk_purchasing/bpsavings_calc/appliance_calculator.xlsx" TargetMode="External"/><Relationship Id="rId36" Type="http://schemas.openxmlformats.org/officeDocument/2006/relationships/hyperlink" Target="https://www.energystar.gov/sites/default/files/asset/document/Consumer_Electronics_Calculator.xlsx" TargetMode="External"/><Relationship Id="rId57" Type="http://schemas.openxmlformats.org/officeDocument/2006/relationships/hyperlink" Target="http://www.cta.tech/CTA/media/policyImages/Energy-Consumption-of-Consumer-Electronics.pdf" TargetMode="External"/><Relationship Id="rId106" Type="http://schemas.openxmlformats.org/officeDocument/2006/relationships/hyperlink" Target="https://link.springer.com/article/10.1007/s12053-016-9503-2" TargetMode="External"/><Relationship Id="rId127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0" Type="http://schemas.openxmlformats.org/officeDocument/2006/relationships/hyperlink" Target="http://www.ce.org/CorporateSite/files/e4/e4d65f2d-bbd3-49f5-b3d6-8634268aa055.pdf" TargetMode="External"/><Relationship Id="rId31" Type="http://schemas.openxmlformats.org/officeDocument/2006/relationships/hyperlink" Target="https://www.energystar.gov/sites/default/files/asset/document/Consumer_Electronics_Calculator.xlsx" TargetMode="External"/><Relationship Id="rId52" Type="http://schemas.openxmlformats.org/officeDocument/2006/relationships/hyperlink" Target="https://www.energystar.gov/sites/default/files/asset/document/Consumer_Electronics_Calculator.xlsx" TargetMode="External"/><Relationship Id="rId73" Type="http://schemas.openxmlformats.org/officeDocument/2006/relationships/hyperlink" Target="http://www.cta.tech/CTA/media/policyImages/Energy-Consumption-of-Consumer-Electronics.pdf" TargetMode="External"/><Relationship Id="rId78" Type="http://schemas.openxmlformats.org/officeDocument/2006/relationships/hyperlink" Target="https://www.nyserda.ny.gov/-/media/Files/EERP/Residential/Power-Management-Research-Report.pdf" TargetMode="External"/><Relationship Id="rId94" Type="http://schemas.openxmlformats.org/officeDocument/2006/relationships/hyperlink" Target="https://link.springer.com/article/10.1007/s12053-016-9503-2" TargetMode="External"/><Relationship Id="rId99" Type="http://schemas.openxmlformats.org/officeDocument/2006/relationships/hyperlink" Target="http://radeon.com/wp-content/uploads/2016/07/Polaris-Carbon-Footprint-Study-07212016.pdf" TargetMode="External"/><Relationship Id="rId101" Type="http://schemas.openxmlformats.org/officeDocument/2006/relationships/hyperlink" Target="https://link.springer.com/article/10.1007/s12053-016-9503-2" TargetMode="External"/><Relationship Id="rId122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3" Type="http://schemas.openxmlformats.org/officeDocument/2006/relationships/hyperlink" Target="https://greentransportation.info/energy-transportation/kwh-evcars-gizmos.html" TargetMode="External"/><Relationship Id="rId148" Type="http://schemas.openxmlformats.org/officeDocument/2006/relationships/hyperlink" Target="http://www.fueleconomy.gov/feg/PowerSearch.do?action=noform&amp;path=1&amp;year1=2015&amp;year2=2017&amp;vtype=Electric" TargetMode="External"/><Relationship Id="rId164" Type="http://schemas.openxmlformats.org/officeDocument/2006/relationships/hyperlink" Target="https://www.energystar.gov/sites/default/files/asset/document/appliance_calculator.xlsx" TargetMode="External"/><Relationship Id="rId169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185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4" Type="http://schemas.openxmlformats.org/officeDocument/2006/relationships/hyperlink" Target="https://www.cta.tech/CTA/media/policyImages/Energy-Consumption-of-Consumer-Electronics.pdf" TargetMode="External"/><Relationship Id="rId9" Type="http://schemas.openxmlformats.org/officeDocument/2006/relationships/hyperlink" Target="http://www.ce.org/CorporateSite/files/e4/e4d65f2d-bbd3-49f5-b3d6-8634268aa055.pdf" TargetMode="External"/><Relationship Id="rId180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210" Type="http://schemas.openxmlformats.org/officeDocument/2006/relationships/hyperlink" Target="https://www.energystar.gov/sites/default/files/asset/document/appliance_calculator.xlsx" TargetMode="External"/><Relationship Id="rId215" Type="http://schemas.openxmlformats.org/officeDocument/2006/relationships/hyperlink" Target="https://www.energystar.gov/sites/default/files/asset/document/appliance_calculator.xlsx" TargetMode="External"/><Relationship Id="rId236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8" TargetMode="External"/><Relationship Id="rId26" Type="http://schemas.openxmlformats.org/officeDocument/2006/relationships/hyperlink" Target="https://www.energystar.gov/sites/default/files/asset/document/Consumer_Electronics_Calculator.xlsx" TargetMode="External"/><Relationship Id="rId231" Type="http://schemas.openxmlformats.org/officeDocument/2006/relationships/hyperlink" Target="http://hes-documentation.lbl.gov/calculation-methodology/calculation-of-energy-consumption/major-appliances/miscellaneous-equipment-energy-consumption/default-energy-consumption-of-mels" TargetMode="External"/><Relationship Id="rId47" Type="http://schemas.openxmlformats.org/officeDocument/2006/relationships/hyperlink" Target="https://www.energystar.gov/sites/default/files/asset/document/Consumer_Electronics_Calculator.xlsx" TargetMode="External"/><Relationship Id="rId68" Type="http://schemas.openxmlformats.org/officeDocument/2006/relationships/hyperlink" Target="http://www.cta.tech/CTA/media/policyImages/Energy-Consumption-of-Consumer-Electronics.pdf" TargetMode="External"/><Relationship Id="rId89" Type="http://schemas.openxmlformats.org/officeDocument/2006/relationships/hyperlink" Target="https://link.springer.com/article/10.1007/s12053-016-9503-2" TargetMode="External"/><Relationship Id="rId112" Type="http://schemas.openxmlformats.org/officeDocument/2006/relationships/hyperlink" Target="https://link.springer.com/article/10.1007/s12053-016-9503-2" TargetMode="External"/><Relationship Id="rId133" Type="http://schemas.openxmlformats.org/officeDocument/2006/relationships/hyperlink" Target="https://www.energystar.gov/productfinder/product/certified-water-heaters/details/2236866" TargetMode="External"/><Relationship Id="rId154" Type="http://schemas.openxmlformats.org/officeDocument/2006/relationships/hyperlink" Target="http://aceee.org/files/proceedings/2014/data/papers/9-702.pdf" TargetMode="External"/><Relationship Id="rId175" Type="http://schemas.openxmlformats.org/officeDocument/2006/relationships/hyperlink" Target="https://www.energy.gov/energysaver/estimating-appliance-and-home-electronic-energy-use" TargetMode="External"/><Relationship Id="rId196" Type="http://schemas.openxmlformats.org/officeDocument/2006/relationships/hyperlink" Target="https://www.energystar.gov/sites/default/files/asset/document/appliance_calculator.xlsx" TargetMode="External"/><Relationship Id="rId200" Type="http://schemas.openxmlformats.org/officeDocument/2006/relationships/hyperlink" Target="https://www.energystar.gov/sites/default/files/asset/document/appliance_calculator.xlsx" TargetMode="External"/><Relationship Id="rId16" Type="http://schemas.openxmlformats.org/officeDocument/2006/relationships/hyperlink" Target="https://energy.gov/energysaver/estimating-appliance-and-home-electronic-energy-use" TargetMode="External"/><Relationship Id="rId221" Type="http://schemas.openxmlformats.org/officeDocument/2006/relationships/hyperlink" Target="https://www.nrdc.org/sites/default/files/home-idle-load-IP.pdf" TargetMode="External"/><Relationship Id="rId242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0" TargetMode="External"/><Relationship Id="rId37" Type="http://schemas.openxmlformats.org/officeDocument/2006/relationships/hyperlink" Target="https://www.energystar.gov/sites/default/files/asset/document/Consumer_Electronics_Calculator.xlsx" TargetMode="External"/><Relationship Id="rId58" Type="http://schemas.openxmlformats.org/officeDocument/2006/relationships/hyperlink" Target="http://www.cta.tech/CTA/media/policyImages/Energy-Consumption-of-Consumer-Electronics.pdf" TargetMode="External"/><Relationship Id="rId79" Type="http://schemas.openxmlformats.org/officeDocument/2006/relationships/hyperlink" Target="https://www.nrdc.org/sites/default/files/home-idle-load-IP.pdf" TargetMode="External"/><Relationship Id="rId102" Type="http://schemas.openxmlformats.org/officeDocument/2006/relationships/hyperlink" Target="https://link.springer.com/article/10.1007/s12053-016-9503-2" TargetMode="External"/><Relationship Id="rId123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44" Type="http://schemas.openxmlformats.org/officeDocument/2006/relationships/hyperlink" Target="http://www.fueleconomy.gov/feg/PowerSearch.do?action=noform&amp;path=1&amp;year1=2015&amp;year2=2017&amp;vtype=Electric" TargetMode="External"/><Relationship Id="rId90" Type="http://schemas.openxmlformats.org/officeDocument/2006/relationships/hyperlink" Target="https://link.springer.com/article/10.1007/s12053-016-9503-2" TargetMode="External"/><Relationship Id="rId165" Type="http://schemas.openxmlformats.org/officeDocument/2006/relationships/hyperlink" Target="https://www.energystar.gov/sites/default/files/asset/document/appliance_calculator.xlsx" TargetMode="External"/><Relationship Id="rId186" Type="http://schemas.openxmlformats.org/officeDocument/2006/relationships/hyperlink" Target="https://www.energystar.gov/sites/default/files/asset/document/appliance_calculator.xlsx" TargetMode="External"/><Relationship Id="rId211" Type="http://schemas.openxmlformats.org/officeDocument/2006/relationships/hyperlink" Target="https://www.energystar.gov/sites/default/files/asset/document/appliance_calculator.xlsx" TargetMode="External"/><Relationship Id="rId232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67" TargetMode="External"/><Relationship Id="rId27" Type="http://schemas.openxmlformats.org/officeDocument/2006/relationships/hyperlink" Target="https://www.energystar.gov/sites/default/files/asset/document/Consumer_Electronics_Calculator.xlsx" TargetMode="External"/><Relationship Id="rId48" Type="http://schemas.openxmlformats.org/officeDocument/2006/relationships/hyperlink" Target="https://www.energystar.gov/sites/default/files/asset/document/Consumer_Electronics_Calculator.xlsx" TargetMode="External"/><Relationship Id="rId69" Type="http://schemas.openxmlformats.org/officeDocument/2006/relationships/hyperlink" Target="http://www.cta.tech/CTA/media/policyImages/Energy-Consumption-of-Consumer-Electronics.pdf" TargetMode="External"/><Relationship Id="rId113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2" TargetMode="External"/><Relationship Id="rId134" Type="http://schemas.openxmlformats.org/officeDocument/2006/relationships/hyperlink" Target="https://greentransportation.info/energy-transportation/kwh-evcars-gizmos.html" TargetMode="External"/><Relationship Id="rId80" Type="http://schemas.openxmlformats.org/officeDocument/2006/relationships/hyperlink" Target="https://link.springer.com/article/10.1007/s12053-016-9503-2" TargetMode="External"/><Relationship Id="rId155" Type="http://schemas.openxmlformats.org/officeDocument/2006/relationships/hyperlink" Target="https://energy.gov/sites/prod/files/2015/06/f22/residential_ovens_nopr.pdf" TargetMode="External"/><Relationship Id="rId176" Type="http://schemas.openxmlformats.org/officeDocument/2006/relationships/hyperlink" Target="https://www.nrdc.org/sites/default/files/home-idle-load-IP.pdf" TargetMode="External"/><Relationship Id="rId197" Type="http://schemas.openxmlformats.org/officeDocument/2006/relationships/hyperlink" Target="https://www.energystar.gov/sites/default/files/asset/document/appliance_calculator.xlsx" TargetMode="External"/><Relationship Id="rId201" Type="http://schemas.openxmlformats.org/officeDocument/2006/relationships/hyperlink" Target="https://www.energystar.gov/sites/default/files/asset/document/appliance_calculator.xlsx" TargetMode="External"/><Relationship Id="rId222" Type="http://schemas.openxmlformats.org/officeDocument/2006/relationships/hyperlink" Target="https://www.energystar.gov/sites/default/files/asset/document/appliance_calculator.xlsx" TargetMode="External"/><Relationship Id="rId243" Type="http://schemas.openxmlformats.org/officeDocument/2006/relationships/hyperlink" Target="https://www.energystar.gov/ia/partners/prod_development/downloads/EEDAL_2015_How%20Low%20Can%20You%20Go%20Forecast%20of%20Game%20Console%20Energy%20Consumption%20Based%20on%20Industry%20Trends_Published.pdf?8fd5-197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nergystar.gov/sites/default/files/asset/document/commercial_kitchen_equipment_calculator_0.xlsx" TargetMode="External"/><Relationship Id="rId117" Type="http://schemas.openxmlformats.org/officeDocument/2006/relationships/hyperlink" Target="https://link.springer.com/article/10.1007/s12053-016-9503-2" TargetMode="External"/><Relationship Id="rId21" Type="http://schemas.openxmlformats.org/officeDocument/2006/relationships/hyperlink" Target="https://www.energystar.gov/sites/default/files/asset/document/commercial_kitchen_equipment_calculator_0.xlsx" TargetMode="External"/><Relationship Id="rId42" Type="http://schemas.openxmlformats.org/officeDocument/2006/relationships/hyperlink" Target="https://www.energystar.gov/sites/default/files/asset/document/commercial_kitchen_equipment_calculator_0.xlsx" TargetMode="External"/><Relationship Id="rId47" Type="http://schemas.openxmlformats.org/officeDocument/2006/relationships/hyperlink" Target="https://www.energystar.gov/sites/default/files/asset/document/commercial_kitchen_equipment_calculator_0.xlsx" TargetMode="External"/><Relationship Id="rId63" Type="http://schemas.openxmlformats.org/officeDocument/2006/relationships/hyperlink" Target="https://www.energystar.gov/sites/default/files/asset/document/commercial_kitchen_equipment_calculator_0.xlsx" TargetMode="External"/><Relationship Id="rId68" Type="http://schemas.openxmlformats.org/officeDocument/2006/relationships/hyperlink" Target="https://www.energystar.gov/sites/default/files/asset/document/appliance_calculator.xlsx" TargetMode="External"/><Relationship Id="rId84" Type="http://schemas.openxmlformats.org/officeDocument/2006/relationships/hyperlink" Target="https://link.springer.com/article/10.1007/s12053-016-9503-2" TargetMode="External"/><Relationship Id="rId89" Type="http://schemas.openxmlformats.org/officeDocument/2006/relationships/hyperlink" Target="https://link.springer.com/article/10.1007/s12053-016-9503-2" TargetMode="External"/><Relationship Id="rId112" Type="http://schemas.openxmlformats.org/officeDocument/2006/relationships/hyperlink" Target="https://link.springer.com/article/10.1007/s12053-016-9503-2" TargetMode="External"/><Relationship Id="rId133" Type="http://schemas.openxmlformats.org/officeDocument/2006/relationships/hyperlink" Target="https://www.energystar.gov/sites/default/files/asset/document/Office%20Equipment%20Calculator.xlsx" TargetMode="External"/><Relationship Id="rId138" Type="http://schemas.openxmlformats.org/officeDocument/2006/relationships/hyperlink" Target="https://www.energystar.gov/sites/default/files/asset/document/appliance_calculator.xlsx" TargetMode="External"/><Relationship Id="rId16" Type="http://schemas.openxmlformats.org/officeDocument/2006/relationships/hyperlink" Target="https://www.energystar.gov/sites/default/files/asset/document/commercial_kitchen_equipment_calculator_0.xlsx" TargetMode="External"/><Relationship Id="rId107" Type="http://schemas.openxmlformats.org/officeDocument/2006/relationships/hyperlink" Target="https://link.springer.com/article/10.1007/s12053-016-9503-2" TargetMode="External"/><Relationship Id="rId11" Type="http://schemas.openxmlformats.org/officeDocument/2006/relationships/hyperlink" Target="https://www.energystar.gov/sites/default/files/asset/document/commercial_kitchen_equipment_calculator_0.xlsx" TargetMode="External"/><Relationship Id="rId32" Type="http://schemas.openxmlformats.org/officeDocument/2006/relationships/hyperlink" Target="https://www.energystar.gov/sites/default/files/asset/document/commercial_kitchen_equipment_calculator_0.xlsx" TargetMode="External"/><Relationship Id="rId37" Type="http://schemas.openxmlformats.org/officeDocument/2006/relationships/hyperlink" Target="https://www.energystar.gov/sites/default/files/asset/document/commercial_kitchen_equipment_calculator_0.xlsx" TargetMode="External"/><Relationship Id="rId53" Type="http://schemas.openxmlformats.org/officeDocument/2006/relationships/hyperlink" Target="https://www.energystar.gov/sites/default/files/asset/document/commercial_kitchen_equipment_calculator_0.xlsx" TargetMode="External"/><Relationship Id="rId58" Type="http://schemas.openxmlformats.org/officeDocument/2006/relationships/hyperlink" Target="https://www.energystar.gov/sites/default/files/asset/document/commercial_kitchen_equipment_calculator_0.xlsx" TargetMode="External"/><Relationship Id="rId74" Type="http://schemas.openxmlformats.org/officeDocument/2006/relationships/hyperlink" Target="https://link.springer.com/article/10.1007/s12053-016-9503-2" TargetMode="External"/><Relationship Id="rId79" Type="http://schemas.openxmlformats.org/officeDocument/2006/relationships/hyperlink" Target="https://link.springer.com/article/10.1007/s12053-016-9503-2" TargetMode="External"/><Relationship Id="rId102" Type="http://schemas.openxmlformats.org/officeDocument/2006/relationships/hyperlink" Target="https://link.springer.com/article/10.1007/s12053-016-9503-2" TargetMode="External"/><Relationship Id="rId123" Type="http://schemas.openxmlformats.org/officeDocument/2006/relationships/hyperlink" Target="http://aceee.org/files/proceedings/2016/data/papers/1_451.pdf" TargetMode="External"/><Relationship Id="rId128" Type="http://schemas.openxmlformats.org/officeDocument/2006/relationships/hyperlink" Target="https://www.eia.gov/analysis/studies/demand/miscelectric/pdf/miscelectric.pdf" TargetMode="External"/><Relationship Id="rId144" Type="http://schemas.openxmlformats.org/officeDocument/2006/relationships/hyperlink" Target="https://www.energystar.gov/sites/default/files/asset/document/appliance_calculator.xlsx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www.cta.tech/CTA/media/policyImages/Energy-Consumption-of-Consumer-Electronics.pdf" TargetMode="External"/><Relationship Id="rId90" Type="http://schemas.openxmlformats.org/officeDocument/2006/relationships/hyperlink" Target="https://link.springer.com/article/10.1007/s12053-016-9503-2" TargetMode="External"/><Relationship Id="rId95" Type="http://schemas.openxmlformats.org/officeDocument/2006/relationships/hyperlink" Target="https://link.springer.com/article/10.1007/s12053-016-9503-2" TargetMode="External"/><Relationship Id="rId22" Type="http://schemas.openxmlformats.org/officeDocument/2006/relationships/hyperlink" Target="https://www.energystar.gov/sites/default/files/asset/document/commercial_kitchen_equipment_calculator_0.xlsx" TargetMode="External"/><Relationship Id="rId27" Type="http://schemas.openxmlformats.org/officeDocument/2006/relationships/hyperlink" Target="https://www.energystar.gov/sites/default/files/asset/document/commercial_kitchen_equipment_calculator_0.xlsx" TargetMode="External"/><Relationship Id="rId43" Type="http://schemas.openxmlformats.org/officeDocument/2006/relationships/hyperlink" Target="https://www.energystar.gov/sites/default/files/asset/document/commercial_kitchen_equipment_calculator_0.xlsx" TargetMode="External"/><Relationship Id="rId48" Type="http://schemas.openxmlformats.org/officeDocument/2006/relationships/hyperlink" Target="https://www.energystar.gov/sites/default/files/asset/document/commercial_kitchen_equipment_calculator_0.xlsx" TargetMode="External"/><Relationship Id="rId64" Type="http://schemas.openxmlformats.org/officeDocument/2006/relationships/hyperlink" Target="https://www.energystar.gov/sites/default/files/asset/document/commercial_kitchen_equipment_calculator_0.xlsx" TargetMode="External"/><Relationship Id="rId69" Type="http://schemas.openxmlformats.org/officeDocument/2006/relationships/hyperlink" Target="https://www.energystar.gov/sites/default/files/asset/document/appliance_calculator.xlsx" TargetMode="External"/><Relationship Id="rId113" Type="http://schemas.openxmlformats.org/officeDocument/2006/relationships/hyperlink" Target="https://link.springer.com/article/10.1007/s12053-016-9503-2" TargetMode="External"/><Relationship Id="rId118" Type="http://schemas.openxmlformats.org/officeDocument/2006/relationships/hyperlink" Target="https://link.springer.com/article/10.1007/s12053-016-9503-2" TargetMode="External"/><Relationship Id="rId134" Type="http://schemas.openxmlformats.org/officeDocument/2006/relationships/hyperlink" Target="https://www.energystar.gov/sites/default/files/asset/document/Office%20Equipment%20Calculator.xlsx" TargetMode="External"/><Relationship Id="rId139" Type="http://schemas.openxmlformats.org/officeDocument/2006/relationships/hyperlink" Target="https://www.energystar.gov/sites/default/files/asset/document/appliance_calculator.xlsx" TargetMode="External"/><Relationship Id="rId80" Type="http://schemas.openxmlformats.org/officeDocument/2006/relationships/hyperlink" Target="https://link.springer.com/article/10.1007/s12053-016-9503-2" TargetMode="External"/><Relationship Id="rId85" Type="http://schemas.openxmlformats.org/officeDocument/2006/relationships/hyperlink" Target="https://link.springer.com/article/10.1007/s12053-016-9503-2" TargetMode="External"/><Relationship Id="rId3" Type="http://schemas.openxmlformats.org/officeDocument/2006/relationships/hyperlink" Target="https://www.cta.tech/CTA/media/policyImages/Energy-Consumption-of-Consumer-Electronics.pdf" TargetMode="External"/><Relationship Id="rId12" Type="http://schemas.openxmlformats.org/officeDocument/2006/relationships/hyperlink" Target="https://www.energystar.gov/sites/default/files/asset/document/commercial_kitchen_equipment_calculator_0.xlsx" TargetMode="External"/><Relationship Id="rId17" Type="http://schemas.openxmlformats.org/officeDocument/2006/relationships/hyperlink" Target="https://www.energystar.gov/sites/default/files/asset/document/commercial_kitchen_equipment_calculator_0.xlsx" TargetMode="External"/><Relationship Id="rId25" Type="http://schemas.openxmlformats.org/officeDocument/2006/relationships/hyperlink" Target="https://www.energystar.gov/sites/default/files/asset/document/commercial_kitchen_equipment_calculator_0.xlsx" TargetMode="External"/><Relationship Id="rId33" Type="http://schemas.openxmlformats.org/officeDocument/2006/relationships/hyperlink" Target="https://www.energystar.gov/sites/default/files/asset/document/commercial_kitchen_equipment_calculator_0.xlsx" TargetMode="External"/><Relationship Id="rId38" Type="http://schemas.openxmlformats.org/officeDocument/2006/relationships/hyperlink" Target="https://www.energystar.gov/sites/default/files/asset/document/commercial_kitchen_equipment_calculator_0.xlsx" TargetMode="External"/><Relationship Id="rId46" Type="http://schemas.openxmlformats.org/officeDocument/2006/relationships/hyperlink" Target="https://www.energystar.gov/sites/default/files/asset/document/commercial_kitchen_equipment_calculator_0.xlsx" TargetMode="External"/><Relationship Id="rId59" Type="http://schemas.openxmlformats.org/officeDocument/2006/relationships/hyperlink" Target="https://www.energystar.gov/sites/default/files/asset/document/commercial_kitchen_equipment_calculator_0.xlsx" TargetMode="External"/><Relationship Id="rId67" Type="http://schemas.openxmlformats.org/officeDocument/2006/relationships/hyperlink" Target="https://www.eia.gov/analysis/studies/demand/miscelectric/pdf/miscelectric.pdf" TargetMode="External"/><Relationship Id="rId103" Type="http://schemas.openxmlformats.org/officeDocument/2006/relationships/hyperlink" Target="https://link.springer.com/article/10.1007/s12053-016-9503-2" TargetMode="External"/><Relationship Id="rId108" Type="http://schemas.openxmlformats.org/officeDocument/2006/relationships/hyperlink" Target="https://link.springer.com/article/10.1007/s12053-016-9503-2" TargetMode="External"/><Relationship Id="rId116" Type="http://schemas.openxmlformats.org/officeDocument/2006/relationships/hyperlink" Target="https://link.springer.com/article/10.1007/s12053-016-9503-2" TargetMode="External"/><Relationship Id="rId124" Type="http://schemas.openxmlformats.org/officeDocument/2006/relationships/hyperlink" Target="https://www.eia.gov/analysis/studies/demand/miscelectric/pdf/miscelectric.pdf" TargetMode="External"/><Relationship Id="rId129" Type="http://schemas.openxmlformats.org/officeDocument/2006/relationships/hyperlink" Target="https://www.energystar.gov/sites/default/files/asset/document/Office%20Equipment%20Calculator.xlsx" TargetMode="External"/><Relationship Id="rId137" Type="http://schemas.openxmlformats.org/officeDocument/2006/relationships/hyperlink" Target="https://www.energystar.gov/sites/default/files/asset/document/appliance_calculator.xlsx" TargetMode="External"/><Relationship Id="rId20" Type="http://schemas.openxmlformats.org/officeDocument/2006/relationships/hyperlink" Target="https://www.energystar.gov/sites/default/files/asset/document/commercial_kitchen_equipment_calculator_0.xlsx" TargetMode="External"/><Relationship Id="rId41" Type="http://schemas.openxmlformats.org/officeDocument/2006/relationships/hyperlink" Target="https://www.energystar.gov/sites/default/files/asset/document/commercial_kitchen_equipment_calculator_0.xlsx" TargetMode="External"/><Relationship Id="rId54" Type="http://schemas.openxmlformats.org/officeDocument/2006/relationships/hyperlink" Target="https://www.energystar.gov/sites/default/files/asset/document/commercial_kitchen_equipment_calculator_0.xlsx" TargetMode="External"/><Relationship Id="rId62" Type="http://schemas.openxmlformats.org/officeDocument/2006/relationships/hyperlink" Target="https://www.energystar.gov/sites/default/files/asset/document/commercial_kitchen_equipment_calculator_0.xlsx" TargetMode="External"/><Relationship Id="rId70" Type="http://schemas.openxmlformats.org/officeDocument/2006/relationships/hyperlink" Target="https://www.energystar.gov/sites/default/files/asset/document/appliance_calculator.xlsx" TargetMode="External"/><Relationship Id="rId75" Type="http://schemas.openxmlformats.org/officeDocument/2006/relationships/hyperlink" Target="https://link.springer.com/article/10.1007/s12053-016-9503-2" TargetMode="External"/><Relationship Id="rId83" Type="http://schemas.openxmlformats.org/officeDocument/2006/relationships/hyperlink" Target="https://link.springer.com/article/10.1007/s12053-016-9503-2" TargetMode="External"/><Relationship Id="rId88" Type="http://schemas.openxmlformats.org/officeDocument/2006/relationships/hyperlink" Target="https://link.springer.com/article/10.1007/s12053-016-9503-2" TargetMode="External"/><Relationship Id="rId91" Type="http://schemas.openxmlformats.org/officeDocument/2006/relationships/hyperlink" Target="https://link.springer.com/article/10.1007/s12053-016-9503-2" TargetMode="External"/><Relationship Id="rId96" Type="http://schemas.openxmlformats.org/officeDocument/2006/relationships/hyperlink" Target="https://link.springer.com/article/10.1007/s12053-016-9503-2" TargetMode="External"/><Relationship Id="rId111" Type="http://schemas.openxmlformats.org/officeDocument/2006/relationships/hyperlink" Target="https://link.springer.com/article/10.1007/s12053-016-9503-2" TargetMode="External"/><Relationship Id="rId132" Type="http://schemas.openxmlformats.org/officeDocument/2006/relationships/hyperlink" Target="https://www.energystar.gov/sites/default/files/asset/document/Office%20Equipment%20Calculator.xlsx" TargetMode="External"/><Relationship Id="rId140" Type="http://schemas.openxmlformats.org/officeDocument/2006/relationships/hyperlink" Target="https://www.energystar.gov/sites/default/files/asset/document/appliance_calculator.xlsx" TargetMode="External"/><Relationship Id="rId145" Type="http://schemas.openxmlformats.org/officeDocument/2006/relationships/hyperlink" Target="https://www.eia.gov/analysis/studies/demand/miscelectric/pdf/miscelectric.pdf" TargetMode="External"/><Relationship Id="rId1" Type="http://schemas.openxmlformats.org/officeDocument/2006/relationships/hyperlink" Target="https://www.energystar.gov/sites/default/files/asset/document/Office%20Equipment%20Calculator.xlsx" TargetMode="External"/><Relationship Id="rId6" Type="http://schemas.openxmlformats.org/officeDocument/2006/relationships/hyperlink" Target="https://www.energystar.gov/sites/default/files/asset/document/Office%20Equipment%20Calculator.xlsx" TargetMode="External"/><Relationship Id="rId15" Type="http://schemas.openxmlformats.org/officeDocument/2006/relationships/hyperlink" Target="https://www.energystar.gov/sites/default/files/asset/document/commercial_kitchen_equipment_calculator_0.xlsx" TargetMode="External"/><Relationship Id="rId23" Type="http://schemas.openxmlformats.org/officeDocument/2006/relationships/hyperlink" Target="https://www.energystar.gov/sites/default/files/asset/document/commercial_kitchen_equipment_calculator_0.xlsx" TargetMode="External"/><Relationship Id="rId28" Type="http://schemas.openxmlformats.org/officeDocument/2006/relationships/hyperlink" Target="https://www.energystar.gov/sites/default/files/asset/document/commercial_kitchen_equipment_calculator_0.xlsx" TargetMode="External"/><Relationship Id="rId36" Type="http://schemas.openxmlformats.org/officeDocument/2006/relationships/hyperlink" Target="https://www.energystar.gov/sites/default/files/asset/document/commercial_kitchen_equipment_calculator_0.xlsx" TargetMode="External"/><Relationship Id="rId49" Type="http://schemas.openxmlformats.org/officeDocument/2006/relationships/hyperlink" Target="https://www.energystar.gov/sites/default/files/asset/document/commercial_kitchen_equipment_calculator_0.xlsx" TargetMode="External"/><Relationship Id="rId57" Type="http://schemas.openxmlformats.org/officeDocument/2006/relationships/hyperlink" Target="https://www.energystar.gov/sites/default/files/asset/document/commercial_kitchen_equipment_calculator_0.xlsx" TargetMode="External"/><Relationship Id="rId106" Type="http://schemas.openxmlformats.org/officeDocument/2006/relationships/hyperlink" Target="https://link.springer.com/article/10.1007/s12053-016-9503-2" TargetMode="External"/><Relationship Id="rId114" Type="http://schemas.openxmlformats.org/officeDocument/2006/relationships/hyperlink" Target="https://link.springer.com/article/10.1007/s12053-016-9503-2" TargetMode="External"/><Relationship Id="rId119" Type="http://schemas.openxmlformats.org/officeDocument/2006/relationships/hyperlink" Target="https://www.esource.com/tas-1700022-001/plugging-plug-load-data-hole" TargetMode="External"/><Relationship Id="rId127" Type="http://schemas.openxmlformats.org/officeDocument/2006/relationships/hyperlink" Target="https://www.eia.gov/analysis/studies/demand/miscelectric/pdf/miscelectric.pdf" TargetMode="External"/><Relationship Id="rId10" Type="http://schemas.openxmlformats.org/officeDocument/2006/relationships/hyperlink" Target="https://www.energystar.gov/sites/default/files/asset/document/commercial_kitchen_equipment_calculator_0.xlsx" TargetMode="External"/><Relationship Id="rId31" Type="http://schemas.openxmlformats.org/officeDocument/2006/relationships/hyperlink" Target="https://www.energystar.gov/sites/default/files/asset/document/commercial_kitchen_equipment_calculator_0.xlsx" TargetMode="External"/><Relationship Id="rId44" Type="http://schemas.openxmlformats.org/officeDocument/2006/relationships/hyperlink" Target="https://www.energystar.gov/sites/default/files/asset/document/commercial_kitchen_equipment_calculator_0.xlsx" TargetMode="External"/><Relationship Id="rId52" Type="http://schemas.openxmlformats.org/officeDocument/2006/relationships/hyperlink" Target="https://www.energystar.gov/sites/default/files/asset/document/commercial_kitchen_equipment_calculator_0.xlsx" TargetMode="External"/><Relationship Id="rId60" Type="http://schemas.openxmlformats.org/officeDocument/2006/relationships/hyperlink" Target="https://www.energystar.gov/sites/default/files/asset/document/commercial_kitchen_equipment_calculator_0.xlsx" TargetMode="External"/><Relationship Id="rId65" Type="http://schemas.openxmlformats.org/officeDocument/2006/relationships/hyperlink" Target="https://www.energystar.gov/sites/default/files/asset/document/commercial_kitchen_equipment_calculator_0.xlsx" TargetMode="External"/><Relationship Id="rId73" Type="http://schemas.openxmlformats.org/officeDocument/2006/relationships/hyperlink" Target="https://link.springer.com/article/10.1007/s12053-016-9503-2" TargetMode="External"/><Relationship Id="rId78" Type="http://schemas.openxmlformats.org/officeDocument/2006/relationships/hyperlink" Target="https://link.springer.com/article/10.1007/s12053-016-9503-2" TargetMode="External"/><Relationship Id="rId81" Type="http://schemas.openxmlformats.org/officeDocument/2006/relationships/hyperlink" Target="https://link.springer.com/article/10.1007/s12053-016-9503-2" TargetMode="External"/><Relationship Id="rId86" Type="http://schemas.openxmlformats.org/officeDocument/2006/relationships/hyperlink" Target="https://link.springer.com/article/10.1007/s12053-016-9503-2" TargetMode="External"/><Relationship Id="rId94" Type="http://schemas.openxmlformats.org/officeDocument/2006/relationships/hyperlink" Target="https://link.springer.com/article/10.1007/s12053-016-9503-2" TargetMode="External"/><Relationship Id="rId99" Type="http://schemas.openxmlformats.org/officeDocument/2006/relationships/hyperlink" Target="https://link.springer.com/article/10.1007/s12053-016-9503-2" TargetMode="External"/><Relationship Id="rId101" Type="http://schemas.openxmlformats.org/officeDocument/2006/relationships/hyperlink" Target="https://link.springer.com/article/10.1007/s12053-016-9503-2" TargetMode="External"/><Relationship Id="rId122" Type="http://schemas.openxmlformats.org/officeDocument/2006/relationships/hyperlink" Target="https://www.eia.gov/analysis/studies/demand/miscelectric/pdf/miscelectric.pdf" TargetMode="External"/><Relationship Id="rId130" Type="http://schemas.openxmlformats.org/officeDocument/2006/relationships/hyperlink" Target="https://www.energystar.gov/sites/default/files/asset/document/Office%20Equipment%20Calculator.xlsx" TargetMode="External"/><Relationship Id="rId135" Type="http://schemas.openxmlformats.org/officeDocument/2006/relationships/hyperlink" Target="https://www.energystar.gov/sites/default/files/asset/document/appliance_calculator.xlsx" TargetMode="External"/><Relationship Id="rId143" Type="http://schemas.openxmlformats.org/officeDocument/2006/relationships/hyperlink" Target="https://www.energystar.gov/sites/default/files/asset/document/appliance_calculator.xlsx" TargetMode="External"/><Relationship Id="rId148" Type="http://schemas.openxmlformats.org/officeDocument/2006/relationships/printerSettings" Target="../printerSettings/printerSettings2.bin"/><Relationship Id="rId4" Type="http://schemas.openxmlformats.org/officeDocument/2006/relationships/hyperlink" Target="https://www.cta.tech/CTA/media/policyImages/Energy-Consumption-of-Consumer-Electronics.pdf" TargetMode="External"/><Relationship Id="rId9" Type="http://schemas.openxmlformats.org/officeDocument/2006/relationships/hyperlink" Target="https://link.springer.com/article/10.1007/s12053-016-9503-2" TargetMode="External"/><Relationship Id="rId13" Type="http://schemas.openxmlformats.org/officeDocument/2006/relationships/hyperlink" Target="https://www.energystar.gov/sites/default/files/asset/document/commercial_kitchen_equipment_calculator_0.xlsx" TargetMode="External"/><Relationship Id="rId18" Type="http://schemas.openxmlformats.org/officeDocument/2006/relationships/hyperlink" Target="https://www.energystar.gov/sites/default/files/asset/document/commercial_kitchen_equipment_calculator_0.xlsx" TargetMode="External"/><Relationship Id="rId39" Type="http://schemas.openxmlformats.org/officeDocument/2006/relationships/hyperlink" Target="https://www.energystar.gov/sites/default/files/asset/document/commercial_kitchen_equipment_calculator_0.xlsx" TargetMode="External"/><Relationship Id="rId109" Type="http://schemas.openxmlformats.org/officeDocument/2006/relationships/hyperlink" Target="https://link.springer.com/article/10.1007/s12053-016-9503-2" TargetMode="External"/><Relationship Id="rId34" Type="http://schemas.openxmlformats.org/officeDocument/2006/relationships/hyperlink" Target="https://www.energystar.gov/sites/default/files/asset/document/commercial_kitchen_equipment_calculator_0.xlsx" TargetMode="External"/><Relationship Id="rId50" Type="http://schemas.openxmlformats.org/officeDocument/2006/relationships/hyperlink" Target="https://www.energystar.gov/sites/default/files/asset/document/commercial_kitchen_equipment_calculator_0.xlsx" TargetMode="External"/><Relationship Id="rId55" Type="http://schemas.openxmlformats.org/officeDocument/2006/relationships/hyperlink" Target="https://www.energystar.gov/sites/default/files/asset/document/commercial_kitchen_equipment_calculator_0.xlsx" TargetMode="External"/><Relationship Id="rId76" Type="http://schemas.openxmlformats.org/officeDocument/2006/relationships/hyperlink" Target="https://link.springer.com/article/10.1007/s12053-016-9503-2" TargetMode="External"/><Relationship Id="rId97" Type="http://schemas.openxmlformats.org/officeDocument/2006/relationships/hyperlink" Target="https://link.springer.com/article/10.1007/s12053-016-9503-2" TargetMode="External"/><Relationship Id="rId104" Type="http://schemas.openxmlformats.org/officeDocument/2006/relationships/hyperlink" Target="https://link.springer.com/article/10.1007/s12053-016-9503-2" TargetMode="External"/><Relationship Id="rId120" Type="http://schemas.openxmlformats.org/officeDocument/2006/relationships/hyperlink" Target="http://www.energystar.gov/ia/business/bulk_purchasing/bpsavings_calc/appliance_calculator.xlsx" TargetMode="External"/><Relationship Id="rId125" Type="http://schemas.openxmlformats.org/officeDocument/2006/relationships/hyperlink" Target="https://www.eia.gov/analysis/studies/demand/miscelectric/pdf/miscelectric.pdf" TargetMode="External"/><Relationship Id="rId141" Type="http://schemas.openxmlformats.org/officeDocument/2006/relationships/hyperlink" Target="https://www.energystar.gov/sites/default/files/asset/document/appliance_calculator.xlsx" TargetMode="External"/><Relationship Id="rId146" Type="http://schemas.openxmlformats.org/officeDocument/2006/relationships/hyperlink" Target="https://www.eia.gov/analysis/studies/demand/miscelectric/pdf/miscelectric.pdf" TargetMode="External"/><Relationship Id="rId7" Type="http://schemas.openxmlformats.org/officeDocument/2006/relationships/hyperlink" Target="https://www.energystar.gov/sites/default/files/asset/document/Office%20Equipment%20Calculator.xlsx" TargetMode="External"/><Relationship Id="rId71" Type="http://schemas.openxmlformats.org/officeDocument/2006/relationships/hyperlink" Target="https://www.energystar.gov/sites/default/files/asset/document/appliance_calculator.xlsx" TargetMode="External"/><Relationship Id="rId92" Type="http://schemas.openxmlformats.org/officeDocument/2006/relationships/hyperlink" Target="https://link.springer.com/article/10.1007/s12053-016-9503-2" TargetMode="External"/><Relationship Id="rId2" Type="http://schemas.openxmlformats.org/officeDocument/2006/relationships/hyperlink" Target="https://www.energystar.gov/sites/default/files/asset/document/Office%20Equipment%20Calculator.xlsx" TargetMode="External"/><Relationship Id="rId29" Type="http://schemas.openxmlformats.org/officeDocument/2006/relationships/hyperlink" Target="https://www.energystar.gov/sites/default/files/asset/document/commercial_kitchen_equipment_calculator_0.xlsx" TargetMode="External"/><Relationship Id="rId24" Type="http://schemas.openxmlformats.org/officeDocument/2006/relationships/hyperlink" Target="https://www.energystar.gov/sites/default/files/asset/document/commercial_kitchen_equipment_calculator_0.xlsx" TargetMode="External"/><Relationship Id="rId40" Type="http://schemas.openxmlformats.org/officeDocument/2006/relationships/hyperlink" Target="https://www.energystar.gov/sites/default/files/asset/document/commercial_kitchen_equipment_calculator_0.xlsx" TargetMode="External"/><Relationship Id="rId45" Type="http://schemas.openxmlformats.org/officeDocument/2006/relationships/hyperlink" Target="https://www.energystar.gov/sites/default/files/asset/document/commercial_kitchen_equipment_calculator_0.xlsx" TargetMode="External"/><Relationship Id="rId66" Type="http://schemas.openxmlformats.org/officeDocument/2006/relationships/hyperlink" Target="https://www.energystar.gov/sites/default/files/asset/document/commercial_kitchen_equipment_calculator_0.xlsx" TargetMode="External"/><Relationship Id="rId87" Type="http://schemas.openxmlformats.org/officeDocument/2006/relationships/hyperlink" Target="https://link.springer.com/article/10.1007/s12053-016-9503-2" TargetMode="External"/><Relationship Id="rId110" Type="http://schemas.openxmlformats.org/officeDocument/2006/relationships/hyperlink" Target="https://link.springer.com/article/10.1007/s12053-016-9503-2" TargetMode="External"/><Relationship Id="rId115" Type="http://schemas.openxmlformats.org/officeDocument/2006/relationships/hyperlink" Target="https://link.springer.com/article/10.1007/s12053-016-9503-2" TargetMode="External"/><Relationship Id="rId131" Type="http://schemas.openxmlformats.org/officeDocument/2006/relationships/hyperlink" Target="https://www.energystar.gov/sites/default/files/asset/document/Office%20Equipment%20Calculator.xlsx" TargetMode="External"/><Relationship Id="rId136" Type="http://schemas.openxmlformats.org/officeDocument/2006/relationships/hyperlink" Target="https://www.energystar.gov/sites/default/files/asset/document/appliance_calculator.xlsx" TargetMode="External"/><Relationship Id="rId61" Type="http://schemas.openxmlformats.org/officeDocument/2006/relationships/hyperlink" Target="https://www.energystar.gov/sites/default/files/asset/document/commercial_kitchen_equipment_calculator_0.xlsx" TargetMode="External"/><Relationship Id="rId82" Type="http://schemas.openxmlformats.org/officeDocument/2006/relationships/hyperlink" Target="https://link.springer.com/article/10.1007/s12053-016-9503-2" TargetMode="External"/><Relationship Id="rId19" Type="http://schemas.openxmlformats.org/officeDocument/2006/relationships/hyperlink" Target="https://www.energystar.gov/sites/default/files/asset/document/commercial_kitchen_equipment_calculator_0.xlsx" TargetMode="External"/><Relationship Id="rId14" Type="http://schemas.openxmlformats.org/officeDocument/2006/relationships/hyperlink" Target="https://www.energystar.gov/sites/default/files/asset/document/commercial_kitchen_equipment_calculator_0.xlsx" TargetMode="External"/><Relationship Id="rId30" Type="http://schemas.openxmlformats.org/officeDocument/2006/relationships/hyperlink" Target="https://www.energystar.gov/sites/default/files/asset/document/commercial_kitchen_equipment_calculator_0.xlsx" TargetMode="External"/><Relationship Id="rId35" Type="http://schemas.openxmlformats.org/officeDocument/2006/relationships/hyperlink" Target="https://www.energystar.gov/sites/default/files/asset/document/commercial_kitchen_equipment_calculator_0.xlsx" TargetMode="External"/><Relationship Id="rId56" Type="http://schemas.openxmlformats.org/officeDocument/2006/relationships/hyperlink" Target="https://www.energystar.gov/sites/default/files/asset/document/commercial_kitchen_equipment_calculator_0.xlsx" TargetMode="External"/><Relationship Id="rId77" Type="http://schemas.openxmlformats.org/officeDocument/2006/relationships/hyperlink" Target="https://link.springer.com/article/10.1007/s12053-016-9503-2" TargetMode="External"/><Relationship Id="rId100" Type="http://schemas.openxmlformats.org/officeDocument/2006/relationships/hyperlink" Target="https://link.springer.com/article/10.1007/s12053-016-9503-2" TargetMode="External"/><Relationship Id="rId105" Type="http://schemas.openxmlformats.org/officeDocument/2006/relationships/hyperlink" Target="https://link.springer.com/article/10.1007/s12053-016-9503-2" TargetMode="External"/><Relationship Id="rId126" Type="http://schemas.openxmlformats.org/officeDocument/2006/relationships/hyperlink" Target="https://www.eia.gov/analysis/studies/demand/miscelectric/pdf/miscelectric.pdf" TargetMode="External"/><Relationship Id="rId147" Type="http://schemas.openxmlformats.org/officeDocument/2006/relationships/hyperlink" Target="https://www.energystar.gov/sites/default/files/asset/document/commercial_kitchen_equipment_calculator_0.xlsx" TargetMode="External"/><Relationship Id="rId8" Type="http://schemas.openxmlformats.org/officeDocument/2006/relationships/hyperlink" Target="https://link.springer.com/article/10.1007/s12053-016-9503-2" TargetMode="External"/><Relationship Id="rId51" Type="http://schemas.openxmlformats.org/officeDocument/2006/relationships/hyperlink" Target="https://www.energystar.gov/sites/default/files/asset/document/commercial_kitchen_equipment_calculator_0.xlsx" TargetMode="External"/><Relationship Id="rId72" Type="http://schemas.openxmlformats.org/officeDocument/2006/relationships/hyperlink" Target="https://link.springer.com/article/10.1007/s12053-016-9503-2" TargetMode="External"/><Relationship Id="rId93" Type="http://schemas.openxmlformats.org/officeDocument/2006/relationships/hyperlink" Target="https://link.springer.com/article/10.1007/s12053-016-9503-2" TargetMode="External"/><Relationship Id="rId98" Type="http://schemas.openxmlformats.org/officeDocument/2006/relationships/hyperlink" Target="https://link.springer.com/article/10.1007/s12053-016-9503-2" TargetMode="External"/><Relationship Id="rId121" Type="http://schemas.openxmlformats.org/officeDocument/2006/relationships/hyperlink" Target="http://www.energystar.gov/ia/business/bulk_purchasing/bpsavings_calc/appliance_calculator.xlsx" TargetMode="External"/><Relationship Id="rId142" Type="http://schemas.openxmlformats.org/officeDocument/2006/relationships/hyperlink" Target="https://www.energystar.gov/sites/default/files/asset/document/appliance_calculato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4"/>
  <sheetViews>
    <sheetView showGridLines="0" tabSelected="1" zoomScaleNormal="100" zoomScaleSheetLayoutView="76" workbookViewId="0">
      <pane ySplit="15" topLeftCell="A16" activePane="bottomLeft" state="frozen"/>
      <selection pane="bottomLeft" activeCell="BS364" sqref="BS364"/>
    </sheetView>
  </sheetViews>
  <sheetFormatPr defaultRowHeight="16.5" x14ac:dyDescent="0.3"/>
  <cols>
    <col min="1" max="1" width="53" style="1" bestFit="1" customWidth="1"/>
    <col min="2" max="3" width="14.42578125" style="13" bestFit="1" customWidth="1"/>
    <col min="4" max="4" width="5.5703125" style="13" bestFit="1" customWidth="1"/>
    <col min="5" max="7" width="14.42578125" style="13" bestFit="1" customWidth="1"/>
    <col min="8" max="8" width="17.28515625" style="13" customWidth="1"/>
    <col min="9" max="9" width="13.5703125" style="33" bestFit="1" customWidth="1"/>
    <col min="10" max="10" width="58.85546875" style="28" customWidth="1"/>
    <col min="11" max="11" width="43.7109375" style="28" customWidth="1"/>
    <col min="12" max="12" width="9.140625" style="9"/>
    <col min="13" max="16384" width="9.140625" style="1"/>
  </cols>
  <sheetData>
    <row r="1" spans="1:12" x14ac:dyDescent="0.3">
      <c r="K1"/>
    </row>
    <row r="2" spans="1:12" x14ac:dyDescent="0.3">
      <c r="K2"/>
    </row>
    <row r="3" spans="1:12" x14ac:dyDescent="0.3">
      <c r="K3"/>
    </row>
    <row r="4" spans="1:12" x14ac:dyDescent="0.3">
      <c r="K4"/>
    </row>
    <row r="7" spans="1:12" ht="16.5" customHeight="1" x14ac:dyDescent="0.3">
      <c r="A7" s="2"/>
      <c r="B7" s="32"/>
      <c r="C7" s="32"/>
      <c r="D7" s="32"/>
      <c r="E7" s="32"/>
      <c r="F7" s="32"/>
      <c r="G7" s="32"/>
      <c r="H7" s="32"/>
      <c r="I7" s="32"/>
      <c r="J7" s="27"/>
      <c r="K7" s="27"/>
    </row>
    <row r="8" spans="1:12" ht="2.25" customHeight="1" x14ac:dyDescent="0.3">
      <c r="A8" s="3"/>
    </row>
    <row r="9" spans="1:12" x14ac:dyDescent="0.3">
      <c r="A9" s="90" t="s">
        <v>79</v>
      </c>
      <c r="B9" s="65"/>
      <c r="C9" s="43"/>
      <c r="D9" s="43"/>
      <c r="E9" s="43"/>
      <c r="F9" s="43"/>
      <c r="G9" s="43"/>
      <c r="H9" s="43"/>
      <c r="I9" s="48"/>
      <c r="J9" s="50"/>
      <c r="K9" s="50"/>
    </row>
    <row r="10" spans="1:12" ht="15.75" customHeight="1" x14ac:dyDescent="0.3">
      <c r="A10" s="98" t="s">
        <v>550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2" ht="15.75" customHeigh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2" ht="2.2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62"/>
    </row>
    <row r="13" spans="1:12" s="17" customFormat="1" ht="23.25" customHeight="1" x14ac:dyDescent="0.3">
      <c r="A13" s="35"/>
      <c r="B13" s="92" t="s">
        <v>81</v>
      </c>
      <c r="C13" s="92"/>
      <c r="D13" s="92"/>
      <c r="E13" s="92" t="s">
        <v>82</v>
      </c>
      <c r="F13" s="92"/>
      <c r="G13" s="92"/>
      <c r="H13" s="93" t="s">
        <v>26</v>
      </c>
      <c r="I13" s="36"/>
      <c r="J13" s="37"/>
      <c r="K13" s="37"/>
      <c r="L13" s="18"/>
    </row>
    <row r="14" spans="1:12" s="17" customFormat="1" ht="6" customHeight="1" x14ac:dyDescent="0.3">
      <c r="A14" s="35"/>
      <c r="B14" s="95"/>
      <c r="C14" s="96"/>
      <c r="D14" s="97"/>
      <c r="E14" s="95"/>
      <c r="F14" s="96"/>
      <c r="G14" s="97"/>
      <c r="H14" s="93"/>
      <c r="I14" s="36"/>
      <c r="J14" s="37"/>
      <c r="K14" s="37"/>
      <c r="L14" s="18"/>
    </row>
    <row r="15" spans="1:12" s="17" customFormat="1" ht="17.25" customHeight="1" x14ac:dyDescent="0.3">
      <c r="A15" s="38" t="s">
        <v>80</v>
      </c>
      <c r="B15" s="63" t="s">
        <v>0</v>
      </c>
      <c r="C15" s="63" t="s">
        <v>1</v>
      </c>
      <c r="D15" s="63" t="s">
        <v>2</v>
      </c>
      <c r="E15" s="63" t="s">
        <v>0</v>
      </c>
      <c r="F15" s="63" t="s">
        <v>1</v>
      </c>
      <c r="G15" s="63" t="s">
        <v>2</v>
      </c>
      <c r="H15" s="94"/>
      <c r="I15" s="64" t="s">
        <v>88</v>
      </c>
      <c r="J15" s="39" t="s">
        <v>96</v>
      </c>
      <c r="K15" s="39" t="s">
        <v>89</v>
      </c>
      <c r="L15" s="18"/>
    </row>
    <row r="16" spans="1:12" s="12" customFormat="1" x14ac:dyDescent="0.25">
      <c r="A16" s="40" t="s">
        <v>20</v>
      </c>
      <c r="B16" s="41"/>
      <c r="C16" s="41"/>
      <c r="D16" s="41"/>
      <c r="E16" s="41"/>
      <c r="F16" s="41"/>
      <c r="G16" s="41"/>
      <c r="H16" s="41"/>
      <c r="I16" s="41"/>
      <c r="J16" s="42"/>
      <c r="K16" s="42"/>
      <c r="L16" s="8"/>
    </row>
    <row r="17" spans="1:15" s="12" customFormat="1" ht="42.75" x14ac:dyDescent="0.25">
      <c r="A17" s="44" t="s">
        <v>428</v>
      </c>
      <c r="B17" s="77">
        <v>52</v>
      </c>
      <c r="C17" s="77">
        <v>2</v>
      </c>
      <c r="D17" s="77">
        <v>1</v>
      </c>
      <c r="E17" s="77">
        <f>950/365</f>
        <v>2.6027397260273974</v>
      </c>
      <c r="F17" s="77">
        <f>7610/365</f>
        <v>20.849315068493151</v>
      </c>
      <c r="G17" s="77">
        <f>200/365</f>
        <v>0.54794520547945202</v>
      </c>
      <c r="H17" s="74">
        <f>(G17*D17+F17*C17+E17*B17)*365/1000</f>
        <v>64.820000000000007</v>
      </c>
      <c r="I17" s="45">
        <v>2014</v>
      </c>
      <c r="J17" s="44" t="s">
        <v>113</v>
      </c>
      <c r="K17" s="53" t="s">
        <v>261</v>
      </c>
      <c r="L17" s="8"/>
      <c r="O17" s="52"/>
    </row>
    <row r="18" spans="1:15" s="12" customFormat="1" ht="72" customHeight="1" x14ac:dyDescent="0.25">
      <c r="A18" s="55" t="s">
        <v>23</v>
      </c>
      <c r="B18" s="78">
        <v>7</v>
      </c>
      <c r="C18" s="78">
        <v>3.7</v>
      </c>
      <c r="D18" s="78" t="s">
        <v>78</v>
      </c>
      <c r="E18" s="78">
        <f>30/7/60</f>
        <v>7.1428571428571425E-2</v>
      </c>
      <c r="F18" s="78" t="s">
        <v>78</v>
      </c>
      <c r="G18" s="78">
        <f>24-E18</f>
        <v>23.928571428571427</v>
      </c>
      <c r="H18" s="73">
        <v>19</v>
      </c>
      <c r="I18" s="56">
        <v>2014</v>
      </c>
      <c r="J18" s="55" t="s">
        <v>225</v>
      </c>
      <c r="K18" s="57" t="s">
        <v>224</v>
      </c>
      <c r="L18" s="8"/>
    </row>
    <row r="19" spans="1:15" s="12" customFormat="1" ht="28.5" x14ac:dyDescent="0.25">
      <c r="A19" s="44" t="s">
        <v>24</v>
      </c>
      <c r="B19" s="77">
        <v>10</v>
      </c>
      <c r="C19" s="77" t="s">
        <v>78</v>
      </c>
      <c r="D19" s="77">
        <v>2.9</v>
      </c>
      <c r="E19" s="77">
        <v>1.456</v>
      </c>
      <c r="F19" s="77" t="s">
        <v>78</v>
      </c>
      <c r="G19" s="77">
        <v>22.544</v>
      </c>
      <c r="H19" s="74">
        <v>30</v>
      </c>
      <c r="I19" s="45">
        <v>2015</v>
      </c>
      <c r="J19" s="44" t="s">
        <v>540</v>
      </c>
      <c r="K19" s="53" t="s">
        <v>227</v>
      </c>
      <c r="L19" s="8"/>
    </row>
    <row r="20" spans="1:15" s="15" customFormat="1" ht="28.5" x14ac:dyDescent="0.25">
      <c r="A20" s="55" t="s">
        <v>92</v>
      </c>
      <c r="B20" s="78" t="s">
        <v>78</v>
      </c>
      <c r="C20" s="78" t="s">
        <v>78</v>
      </c>
      <c r="D20" s="78" t="s">
        <v>78</v>
      </c>
      <c r="E20" s="78" t="s">
        <v>78</v>
      </c>
      <c r="F20" s="78" t="s">
        <v>78</v>
      </c>
      <c r="G20" s="78" t="s">
        <v>78</v>
      </c>
      <c r="H20" s="73">
        <v>0.3</v>
      </c>
      <c r="I20" s="56">
        <v>2011</v>
      </c>
      <c r="J20" s="55" t="s">
        <v>98</v>
      </c>
      <c r="K20" s="55" t="s">
        <v>90</v>
      </c>
      <c r="L20" s="7"/>
    </row>
    <row r="21" spans="1:15" s="12" customFormat="1" ht="28.5" x14ac:dyDescent="0.25">
      <c r="A21" s="44" t="s">
        <v>29</v>
      </c>
      <c r="B21" s="77">
        <v>1</v>
      </c>
      <c r="C21" s="77" t="s">
        <v>78</v>
      </c>
      <c r="D21" s="77" t="s">
        <v>78</v>
      </c>
      <c r="E21" s="77">
        <v>16.399999999999999</v>
      </c>
      <c r="F21" s="77" t="s">
        <v>78</v>
      </c>
      <c r="G21" s="77" t="s">
        <v>78</v>
      </c>
      <c r="H21" s="74">
        <v>6</v>
      </c>
      <c r="I21" s="45">
        <v>2010</v>
      </c>
      <c r="J21" s="44" t="s">
        <v>99</v>
      </c>
      <c r="K21" s="84" t="s">
        <v>429</v>
      </c>
      <c r="L21" s="8"/>
    </row>
    <row r="22" spans="1:15" s="15" customFormat="1" ht="42.75" x14ac:dyDescent="0.25">
      <c r="A22" s="55" t="s">
        <v>154</v>
      </c>
      <c r="B22" s="78">
        <v>5</v>
      </c>
      <c r="C22" s="78">
        <v>3</v>
      </c>
      <c r="D22" s="78">
        <v>1.7</v>
      </c>
      <c r="E22" s="78">
        <f>657/365</f>
        <v>1.8</v>
      </c>
      <c r="F22" s="78">
        <f>0</f>
        <v>0</v>
      </c>
      <c r="G22" s="78">
        <f>8103/365</f>
        <v>22.2</v>
      </c>
      <c r="H22" s="73">
        <f>(G22*D22+E22*B22)*365/1000</f>
        <v>17.060099999999998</v>
      </c>
      <c r="I22" s="56">
        <v>2014</v>
      </c>
      <c r="J22" s="55" t="s">
        <v>113</v>
      </c>
      <c r="K22" s="57" t="s">
        <v>261</v>
      </c>
      <c r="L22" s="7"/>
    </row>
    <row r="23" spans="1:15" s="15" customFormat="1" ht="28.9" customHeight="1" x14ac:dyDescent="0.25">
      <c r="A23" s="44" t="s">
        <v>87</v>
      </c>
      <c r="B23" s="77" t="s">
        <v>78</v>
      </c>
      <c r="C23" s="77" t="s">
        <v>78</v>
      </c>
      <c r="D23" s="77" t="s">
        <v>78</v>
      </c>
      <c r="E23" s="77">
        <v>2</v>
      </c>
      <c r="F23" s="77">
        <v>22</v>
      </c>
      <c r="G23" s="77" t="s">
        <v>78</v>
      </c>
      <c r="H23" s="74">
        <v>112</v>
      </c>
      <c r="I23" s="45">
        <v>2015</v>
      </c>
      <c r="J23" s="44" t="s">
        <v>210</v>
      </c>
      <c r="K23" s="53" t="s">
        <v>262</v>
      </c>
      <c r="L23" s="7"/>
    </row>
    <row r="24" spans="1:15" s="12" customFormat="1" ht="28.5" x14ac:dyDescent="0.25">
      <c r="A24" s="55" t="s">
        <v>105</v>
      </c>
      <c r="B24" s="78" t="s">
        <v>78</v>
      </c>
      <c r="C24" s="78" t="s">
        <v>78</v>
      </c>
      <c r="D24" s="78" t="s">
        <v>78</v>
      </c>
      <c r="E24" s="78">
        <v>2</v>
      </c>
      <c r="F24" s="78">
        <v>22</v>
      </c>
      <c r="G24" s="78" t="s">
        <v>78</v>
      </c>
      <c r="H24" s="73">
        <v>168</v>
      </c>
      <c r="I24" s="56">
        <v>2015</v>
      </c>
      <c r="J24" s="55" t="s">
        <v>210</v>
      </c>
      <c r="K24" s="57" t="s">
        <v>262</v>
      </c>
      <c r="L24" s="8"/>
    </row>
    <row r="25" spans="1:15" s="12" customFormat="1" ht="28.5" x14ac:dyDescent="0.25">
      <c r="A25" s="44" t="s">
        <v>25</v>
      </c>
      <c r="B25" s="77">
        <v>24</v>
      </c>
      <c r="C25" s="77" t="s">
        <v>78</v>
      </c>
      <c r="D25" s="77">
        <v>6</v>
      </c>
      <c r="E25" s="77">
        <v>0.37</v>
      </c>
      <c r="F25" s="77" t="s">
        <v>78</v>
      </c>
      <c r="G25" s="77">
        <v>23.63</v>
      </c>
      <c r="H25" s="74">
        <v>55</v>
      </c>
      <c r="I25" s="45">
        <v>2009</v>
      </c>
      <c r="J25" s="44" t="s">
        <v>97</v>
      </c>
      <c r="K25" s="62" t="s">
        <v>90</v>
      </c>
      <c r="L25" s="8"/>
    </row>
    <row r="26" spans="1:15" s="12" customFormat="1" ht="42.75" x14ac:dyDescent="0.25">
      <c r="A26" s="55" t="s">
        <v>114</v>
      </c>
      <c r="B26" s="78">
        <v>5</v>
      </c>
      <c r="C26" s="78">
        <v>3</v>
      </c>
      <c r="D26" s="78">
        <v>1.3</v>
      </c>
      <c r="E26" s="78">
        <v>3.3</v>
      </c>
      <c r="F26" s="78">
        <v>5.5</v>
      </c>
      <c r="G26" s="78">
        <v>15.2</v>
      </c>
      <c r="H26" s="73">
        <v>19.260000000000002</v>
      </c>
      <c r="I26" s="56">
        <v>2014</v>
      </c>
      <c r="J26" s="55" t="s">
        <v>113</v>
      </c>
      <c r="K26" s="57" t="s">
        <v>261</v>
      </c>
      <c r="L26" s="8"/>
    </row>
    <row r="27" spans="1:15" s="12" customFormat="1" ht="42.75" x14ac:dyDescent="0.25">
      <c r="A27" s="44" t="s">
        <v>159</v>
      </c>
      <c r="B27" s="77">
        <v>30</v>
      </c>
      <c r="C27" s="77">
        <v>12</v>
      </c>
      <c r="D27" s="77">
        <v>4</v>
      </c>
      <c r="E27" s="77">
        <v>3.4</v>
      </c>
      <c r="F27" s="77">
        <v>2.6</v>
      </c>
      <c r="G27" s="77">
        <v>18</v>
      </c>
      <c r="H27" s="74">
        <v>74.900000000000006</v>
      </c>
      <c r="I27" s="45">
        <v>2014</v>
      </c>
      <c r="J27" s="44" t="s">
        <v>113</v>
      </c>
      <c r="K27" s="53" t="s">
        <v>261</v>
      </c>
      <c r="L27" s="8"/>
    </row>
    <row r="28" spans="1:15" s="12" customFormat="1" ht="45" customHeight="1" x14ac:dyDescent="0.25">
      <c r="A28" s="55" t="s">
        <v>430</v>
      </c>
      <c r="B28" s="78">
        <v>6</v>
      </c>
      <c r="C28" s="78">
        <v>3</v>
      </c>
      <c r="D28" s="78">
        <v>0</v>
      </c>
      <c r="E28" s="78">
        <v>6</v>
      </c>
      <c r="F28" s="78">
        <v>0</v>
      </c>
      <c r="G28" s="78">
        <v>18</v>
      </c>
      <c r="H28" s="73">
        <v>13.14</v>
      </c>
      <c r="I28" s="56">
        <v>2011</v>
      </c>
      <c r="J28" s="55" t="s">
        <v>111</v>
      </c>
      <c r="K28" s="83" t="s">
        <v>432</v>
      </c>
    </row>
    <row r="29" spans="1:15" s="12" customFormat="1" ht="43.5" customHeight="1" x14ac:dyDescent="0.25">
      <c r="A29" s="44" t="s">
        <v>91</v>
      </c>
      <c r="B29" s="77">
        <v>32.6</v>
      </c>
      <c r="C29" s="77" t="s">
        <v>78</v>
      </c>
      <c r="D29" s="77">
        <v>0</v>
      </c>
      <c r="E29" s="77">
        <v>0.1</v>
      </c>
      <c r="F29" s="77" t="s">
        <v>78</v>
      </c>
      <c r="G29" s="77">
        <v>23.9</v>
      </c>
      <c r="H29" s="74">
        <v>1.2</v>
      </c>
      <c r="I29" s="45">
        <v>2010</v>
      </c>
      <c r="J29" s="44" t="s">
        <v>95</v>
      </c>
      <c r="K29" s="84" t="s">
        <v>433</v>
      </c>
    </row>
    <row r="30" spans="1:15" s="12" customFormat="1" ht="28.5" x14ac:dyDescent="0.25">
      <c r="A30" s="55" t="s">
        <v>431</v>
      </c>
      <c r="B30" s="78">
        <v>350</v>
      </c>
      <c r="C30" s="78" t="s">
        <v>78</v>
      </c>
      <c r="D30" s="78" t="s">
        <v>78</v>
      </c>
      <c r="E30" s="78">
        <v>24</v>
      </c>
      <c r="F30" s="78" t="s">
        <v>78</v>
      </c>
      <c r="G30" s="78" t="s">
        <v>78</v>
      </c>
      <c r="H30" s="73">
        <f>(E30*B30)*365/1000</f>
        <v>3066</v>
      </c>
      <c r="I30" s="56">
        <v>2015</v>
      </c>
      <c r="J30" s="55" t="s">
        <v>540</v>
      </c>
      <c r="K30" s="57" t="s">
        <v>227</v>
      </c>
      <c r="L30" s="8"/>
    </row>
    <row r="31" spans="1:15" s="12" customFormat="1" x14ac:dyDescent="0.25">
      <c r="A31" s="40" t="s">
        <v>434</v>
      </c>
      <c r="B31" s="86"/>
      <c r="C31" s="86"/>
      <c r="D31" s="86"/>
      <c r="E31" s="86"/>
      <c r="F31" s="86"/>
      <c r="G31" s="86"/>
      <c r="H31" s="87"/>
      <c r="I31" s="66"/>
      <c r="J31" s="46"/>
      <c r="K31" s="54"/>
      <c r="L31" s="8"/>
    </row>
    <row r="32" spans="1:15" s="12" customFormat="1" ht="28.5" x14ac:dyDescent="0.25">
      <c r="A32" s="44" t="s">
        <v>274</v>
      </c>
      <c r="B32" s="77" t="s">
        <v>78</v>
      </c>
      <c r="C32" s="77" t="s">
        <v>78</v>
      </c>
      <c r="D32" s="77" t="s">
        <v>78</v>
      </c>
      <c r="E32" s="77" t="s">
        <v>78</v>
      </c>
      <c r="F32" s="77" t="s">
        <v>78</v>
      </c>
      <c r="G32" s="77" t="s">
        <v>78</v>
      </c>
      <c r="H32" s="74">
        <f>270*11926/1000</f>
        <v>3220.02</v>
      </c>
      <c r="I32" s="45">
        <v>2017</v>
      </c>
      <c r="J32" s="62" t="s">
        <v>264</v>
      </c>
      <c r="K32" s="84" t="s">
        <v>263</v>
      </c>
      <c r="L32" s="8"/>
    </row>
    <row r="33" spans="1:12" s="12" customFormat="1" ht="42.75" x14ac:dyDescent="0.25">
      <c r="A33" s="55" t="s">
        <v>281</v>
      </c>
      <c r="B33" s="78" t="s">
        <v>78</v>
      </c>
      <c r="C33" s="78" t="s">
        <v>78</v>
      </c>
      <c r="D33" s="78" t="s">
        <v>78</v>
      </c>
      <c r="E33" s="78" t="s">
        <v>78</v>
      </c>
      <c r="F33" s="78" t="s">
        <v>78</v>
      </c>
      <c r="G33" s="78" t="s">
        <v>78</v>
      </c>
      <c r="H33" s="73">
        <f>11926/100*29</f>
        <v>3458.54</v>
      </c>
      <c r="I33" s="56">
        <v>2017</v>
      </c>
      <c r="J33" s="55" t="s">
        <v>282</v>
      </c>
      <c r="K33" s="83" t="s">
        <v>280</v>
      </c>
      <c r="L33" s="12" t="s">
        <v>4</v>
      </c>
    </row>
    <row r="34" spans="1:12" s="12" customFormat="1" ht="28.5" x14ac:dyDescent="0.25">
      <c r="A34" s="44" t="s">
        <v>285</v>
      </c>
      <c r="B34" s="77" t="s">
        <v>78</v>
      </c>
      <c r="C34" s="77" t="s">
        <v>78</v>
      </c>
      <c r="D34" s="77" t="s">
        <v>78</v>
      </c>
      <c r="E34" s="77" t="s">
        <v>78</v>
      </c>
      <c r="F34" s="77" t="s">
        <v>78</v>
      </c>
      <c r="G34" s="77" t="s">
        <v>78</v>
      </c>
      <c r="H34" s="74">
        <f>280*11926/1000</f>
        <v>3339.28</v>
      </c>
      <c r="I34" s="45">
        <v>2017</v>
      </c>
      <c r="J34" s="62" t="s">
        <v>264</v>
      </c>
      <c r="K34" s="84" t="s">
        <v>263</v>
      </c>
      <c r="L34" s="12" t="s">
        <v>4</v>
      </c>
    </row>
    <row r="35" spans="1:12" s="12" customFormat="1" ht="42.75" x14ac:dyDescent="0.25">
      <c r="A35" s="55" t="s">
        <v>286</v>
      </c>
      <c r="B35" s="78" t="s">
        <v>78</v>
      </c>
      <c r="C35" s="78" t="s">
        <v>78</v>
      </c>
      <c r="D35" s="78" t="s">
        <v>78</v>
      </c>
      <c r="E35" s="78" t="s">
        <v>78</v>
      </c>
      <c r="F35" s="78" t="s">
        <v>78</v>
      </c>
      <c r="G35" s="78" t="s">
        <v>78</v>
      </c>
      <c r="H35" s="73">
        <f>11926/100*28</f>
        <v>3339.28</v>
      </c>
      <c r="I35" s="56">
        <v>2017</v>
      </c>
      <c r="J35" s="55" t="s">
        <v>282</v>
      </c>
      <c r="K35" s="83" t="s">
        <v>280</v>
      </c>
    </row>
    <row r="36" spans="1:12" s="12" customFormat="1" ht="28.5" x14ac:dyDescent="0.25">
      <c r="A36" s="44" t="s">
        <v>267</v>
      </c>
      <c r="B36" s="77" t="s">
        <v>78</v>
      </c>
      <c r="C36" s="77" t="s">
        <v>78</v>
      </c>
      <c r="D36" s="77" t="s">
        <v>78</v>
      </c>
      <c r="E36" s="77" t="s">
        <v>78</v>
      </c>
      <c r="F36" s="77" t="s">
        <v>78</v>
      </c>
      <c r="G36" s="77" t="s">
        <v>78</v>
      </c>
      <c r="H36" s="74">
        <f>290*11926/1000</f>
        <v>3458.54</v>
      </c>
      <c r="I36" s="45">
        <v>2017</v>
      </c>
      <c r="J36" s="62" t="s">
        <v>264</v>
      </c>
      <c r="K36" s="84" t="s">
        <v>263</v>
      </c>
    </row>
    <row r="37" spans="1:12" s="12" customFormat="1" ht="42.75" x14ac:dyDescent="0.25">
      <c r="A37" s="55" t="s">
        <v>287</v>
      </c>
      <c r="B37" s="78" t="s">
        <v>78</v>
      </c>
      <c r="C37" s="78" t="s">
        <v>78</v>
      </c>
      <c r="D37" s="78" t="s">
        <v>78</v>
      </c>
      <c r="E37" s="78" t="s">
        <v>78</v>
      </c>
      <c r="F37" s="78" t="s">
        <v>78</v>
      </c>
      <c r="G37" s="78" t="s">
        <v>78</v>
      </c>
      <c r="H37" s="73">
        <f>11926/100*25</f>
        <v>2981.5</v>
      </c>
      <c r="I37" s="56">
        <v>2017</v>
      </c>
      <c r="J37" s="55" t="s">
        <v>282</v>
      </c>
      <c r="K37" s="83" t="s">
        <v>280</v>
      </c>
    </row>
    <row r="38" spans="1:12" s="12" customFormat="1" ht="28.5" x14ac:dyDescent="0.25">
      <c r="A38" s="44" t="s">
        <v>270</v>
      </c>
      <c r="B38" s="77" t="s">
        <v>78</v>
      </c>
      <c r="C38" s="77" t="s">
        <v>78</v>
      </c>
      <c r="D38" s="77" t="s">
        <v>78</v>
      </c>
      <c r="E38" s="77" t="s">
        <v>78</v>
      </c>
      <c r="F38" s="77" t="s">
        <v>78</v>
      </c>
      <c r="G38" s="77" t="s">
        <v>78</v>
      </c>
      <c r="H38" s="74">
        <f>320*11926/1000</f>
        <v>3816.32</v>
      </c>
      <c r="I38" s="45">
        <v>2017</v>
      </c>
      <c r="J38" s="62" t="s">
        <v>264</v>
      </c>
      <c r="K38" s="84" t="s">
        <v>263</v>
      </c>
      <c r="L38" s="12" t="s">
        <v>4</v>
      </c>
    </row>
    <row r="39" spans="1:12" s="12" customFormat="1" ht="28.5" x14ac:dyDescent="0.25">
      <c r="A39" s="55" t="s">
        <v>269</v>
      </c>
      <c r="B39" s="78" t="s">
        <v>78</v>
      </c>
      <c r="C39" s="78" t="s">
        <v>78</v>
      </c>
      <c r="D39" s="78" t="s">
        <v>78</v>
      </c>
      <c r="E39" s="78" t="s">
        <v>78</v>
      </c>
      <c r="F39" s="78" t="s">
        <v>78</v>
      </c>
      <c r="G39" s="78" t="s">
        <v>78</v>
      </c>
      <c r="H39" s="73">
        <f>320*11926/1000</f>
        <v>3816.32</v>
      </c>
      <c r="I39" s="56">
        <v>2017</v>
      </c>
      <c r="J39" s="55" t="s">
        <v>264</v>
      </c>
      <c r="K39" s="83" t="s">
        <v>263</v>
      </c>
      <c r="L39" s="12" t="s">
        <v>4</v>
      </c>
    </row>
    <row r="40" spans="1:12" s="12" customFormat="1" ht="28.5" x14ac:dyDescent="0.25">
      <c r="A40" s="44" t="s">
        <v>272</v>
      </c>
      <c r="B40" s="77" t="s">
        <v>78</v>
      </c>
      <c r="C40" s="77" t="s">
        <v>78</v>
      </c>
      <c r="D40" s="77" t="s">
        <v>78</v>
      </c>
      <c r="E40" s="77" t="s">
        <v>78</v>
      </c>
      <c r="F40" s="77" t="s">
        <v>78</v>
      </c>
      <c r="G40" s="77" t="s">
        <v>78</v>
      </c>
      <c r="H40" s="74">
        <f>350*11926/1000</f>
        <v>4174.1000000000004</v>
      </c>
      <c r="I40" s="45">
        <v>2017</v>
      </c>
      <c r="J40" s="62" t="s">
        <v>264</v>
      </c>
      <c r="K40" s="53" t="s">
        <v>263</v>
      </c>
      <c r="L40" s="12" t="s">
        <v>4</v>
      </c>
    </row>
    <row r="41" spans="1:12" s="12" customFormat="1" ht="28.5" x14ac:dyDescent="0.25">
      <c r="A41" s="55" t="s">
        <v>271</v>
      </c>
      <c r="B41" s="78" t="s">
        <v>78</v>
      </c>
      <c r="C41" s="78" t="s">
        <v>78</v>
      </c>
      <c r="D41" s="78" t="s">
        <v>78</v>
      </c>
      <c r="E41" s="78" t="s">
        <v>78</v>
      </c>
      <c r="F41" s="78" t="s">
        <v>78</v>
      </c>
      <c r="G41" s="78" t="s">
        <v>78</v>
      </c>
      <c r="H41" s="73">
        <f>380*11926/1000</f>
        <v>4531.88</v>
      </c>
      <c r="I41" s="56">
        <v>2017</v>
      </c>
      <c r="J41" s="55" t="s">
        <v>264</v>
      </c>
      <c r="K41" s="83" t="s">
        <v>263</v>
      </c>
      <c r="L41" s="12" t="s">
        <v>4</v>
      </c>
    </row>
    <row r="42" spans="1:12" s="12" customFormat="1" ht="28.5" x14ac:dyDescent="0.25">
      <c r="A42" s="44" t="s">
        <v>273</v>
      </c>
      <c r="B42" s="77" t="s">
        <v>78</v>
      </c>
      <c r="C42" s="77" t="s">
        <v>78</v>
      </c>
      <c r="D42" s="77" t="s">
        <v>78</v>
      </c>
      <c r="E42" s="77" t="s">
        <v>78</v>
      </c>
      <c r="F42" s="77" t="s">
        <v>78</v>
      </c>
      <c r="G42" s="77" t="s">
        <v>78</v>
      </c>
      <c r="H42" s="74">
        <f>340*11926/1000</f>
        <v>4054.84</v>
      </c>
      <c r="I42" s="45">
        <v>2017</v>
      </c>
      <c r="J42" s="62" t="s">
        <v>264</v>
      </c>
      <c r="K42" s="84" t="s">
        <v>263</v>
      </c>
      <c r="L42" s="12" t="s">
        <v>4</v>
      </c>
    </row>
    <row r="43" spans="1:12" s="12" customFormat="1" ht="28.5" x14ac:dyDescent="0.25">
      <c r="A43" s="55" t="s">
        <v>265</v>
      </c>
      <c r="B43" s="78" t="s">
        <v>78</v>
      </c>
      <c r="C43" s="78" t="s">
        <v>78</v>
      </c>
      <c r="D43" s="78" t="s">
        <v>78</v>
      </c>
      <c r="E43" s="78" t="s">
        <v>78</v>
      </c>
      <c r="F43" s="78" t="s">
        <v>78</v>
      </c>
      <c r="G43" s="78" t="s">
        <v>78</v>
      </c>
      <c r="H43" s="73">
        <f>164*11926/1000</f>
        <v>1955.864</v>
      </c>
      <c r="I43" s="56">
        <v>2017</v>
      </c>
      <c r="J43" s="55" t="s">
        <v>264</v>
      </c>
      <c r="K43" s="83" t="s">
        <v>263</v>
      </c>
      <c r="L43" s="12" t="s">
        <v>4</v>
      </c>
    </row>
    <row r="44" spans="1:12" s="12" customFormat="1" ht="28.5" x14ac:dyDescent="0.25">
      <c r="A44" s="44" t="s">
        <v>266</v>
      </c>
      <c r="B44" s="77" t="s">
        <v>78</v>
      </c>
      <c r="C44" s="77" t="s">
        <v>78</v>
      </c>
      <c r="D44" s="77" t="s">
        <v>78</v>
      </c>
      <c r="E44" s="77" t="s">
        <v>78</v>
      </c>
      <c r="F44" s="77" t="s">
        <v>78</v>
      </c>
      <c r="G44" s="77" t="s">
        <v>78</v>
      </c>
      <c r="H44" s="74">
        <f>400*11926/1000</f>
        <v>4770.3999999999996</v>
      </c>
      <c r="I44" s="45">
        <v>2017</v>
      </c>
      <c r="J44" s="62" t="s">
        <v>264</v>
      </c>
      <c r="K44" s="84" t="s">
        <v>263</v>
      </c>
      <c r="L44" s="12" t="s">
        <v>4</v>
      </c>
    </row>
    <row r="45" spans="1:12" s="12" customFormat="1" ht="28.5" x14ac:dyDescent="0.25">
      <c r="A45" s="55" t="s">
        <v>268</v>
      </c>
      <c r="B45" s="78" t="s">
        <v>78</v>
      </c>
      <c r="C45" s="78" t="s">
        <v>78</v>
      </c>
      <c r="D45" s="78" t="s">
        <v>78</v>
      </c>
      <c r="E45" s="78" t="s">
        <v>78</v>
      </c>
      <c r="F45" s="78" t="s">
        <v>78</v>
      </c>
      <c r="G45" s="78" t="s">
        <v>78</v>
      </c>
      <c r="H45" s="73">
        <f>300*11926/1000</f>
        <v>3577.8</v>
      </c>
      <c r="I45" s="56">
        <v>2017</v>
      </c>
      <c r="J45" s="55" t="s">
        <v>264</v>
      </c>
      <c r="K45" s="83" t="s">
        <v>263</v>
      </c>
    </row>
    <row r="46" spans="1:12" s="12" customFormat="1" ht="42.75" x14ac:dyDescent="0.25">
      <c r="A46" s="44" t="s">
        <v>283</v>
      </c>
      <c r="B46" s="77" t="s">
        <v>78</v>
      </c>
      <c r="C46" s="77" t="s">
        <v>78</v>
      </c>
      <c r="D46" s="77" t="s">
        <v>78</v>
      </c>
      <c r="E46" s="77" t="s">
        <v>78</v>
      </c>
      <c r="F46" s="77" t="s">
        <v>78</v>
      </c>
      <c r="G46" s="77" t="s">
        <v>78</v>
      </c>
      <c r="H46" s="74">
        <f>11926/100*29</f>
        <v>3458.54</v>
      </c>
      <c r="I46" s="45">
        <v>2017</v>
      </c>
      <c r="J46" s="62" t="s">
        <v>282</v>
      </c>
      <c r="K46" s="84" t="s">
        <v>280</v>
      </c>
      <c r="L46" s="12" t="s">
        <v>4</v>
      </c>
    </row>
    <row r="47" spans="1:12" s="12" customFormat="1" ht="42.75" x14ac:dyDescent="0.25">
      <c r="A47" s="55" t="s">
        <v>284</v>
      </c>
      <c r="B47" s="78" t="s">
        <v>78</v>
      </c>
      <c r="C47" s="78" t="s">
        <v>78</v>
      </c>
      <c r="D47" s="78" t="s">
        <v>78</v>
      </c>
      <c r="E47" s="78" t="s">
        <v>78</v>
      </c>
      <c r="F47" s="78" t="s">
        <v>78</v>
      </c>
      <c r="G47" s="78" t="s">
        <v>78</v>
      </c>
      <c r="H47" s="73">
        <f>11926/100*28</f>
        <v>3339.28</v>
      </c>
      <c r="I47" s="56">
        <v>2017</v>
      </c>
      <c r="J47" s="55" t="s">
        <v>282</v>
      </c>
      <c r="K47" s="83" t="s">
        <v>280</v>
      </c>
      <c r="L47" s="12" t="s">
        <v>4</v>
      </c>
    </row>
    <row r="48" spans="1:12" s="12" customFormat="1" x14ac:dyDescent="0.25">
      <c r="A48" s="40" t="s">
        <v>435</v>
      </c>
      <c r="B48" s="86"/>
      <c r="C48" s="86"/>
      <c r="D48" s="86"/>
      <c r="E48" s="86"/>
      <c r="F48" s="86"/>
      <c r="G48" s="86"/>
      <c r="H48" s="87"/>
      <c r="I48" s="66"/>
      <c r="J48" s="46"/>
      <c r="K48" s="54"/>
      <c r="L48" s="12" t="s">
        <v>4</v>
      </c>
    </row>
    <row r="49" spans="1:12" s="12" customFormat="1" ht="42.75" x14ac:dyDescent="0.25">
      <c r="A49" s="44" t="s">
        <v>119</v>
      </c>
      <c r="B49" s="77">
        <v>5.5</v>
      </c>
      <c r="C49" s="77">
        <v>0</v>
      </c>
      <c r="D49" s="77" t="s">
        <v>78</v>
      </c>
      <c r="E49" s="77">
        <v>21.4</v>
      </c>
      <c r="F49" s="77">
        <v>2.6</v>
      </c>
      <c r="G49" s="77" t="s">
        <v>78</v>
      </c>
      <c r="H49" s="74">
        <v>42.96</v>
      </c>
      <c r="I49" s="45">
        <v>2014</v>
      </c>
      <c r="J49" s="44" t="s">
        <v>113</v>
      </c>
      <c r="K49" s="53" t="s">
        <v>261</v>
      </c>
      <c r="L49" s="12" t="s">
        <v>4</v>
      </c>
    </row>
    <row r="50" spans="1:12" s="12" customFormat="1" ht="28.5" x14ac:dyDescent="0.25">
      <c r="A50" s="55" t="s">
        <v>436</v>
      </c>
      <c r="B50" s="78">
        <f>H50/E50/365*1000</f>
        <v>14.155251141552512</v>
      </c>
      <c r="C50" s="78" t="s">
        <v>78</v>
      </c>
      <c r="D50" s="78" t="s">
        <v>78</v>
      </c>
      <c r="E50" s="78">
        <v>6</v>
      </c>
      <c r="F50" s="78">
        <v>0</v>
      </c>
      <c r="G50" s="78">
        <f>24-E50</f>
        <v>18</v>
      </c>
      <c r="H50" s="73">
        <v>31</v>
      </c>
      <c r="I50" s="56">
        <v>2015</v>
      </c>
      <c r="J50" s="55" t="s">
        <v>210</v>
      </c>
      <c r="K50" s="57" t="s">
        <v>262</v>
      </c>
      <c r="L50" s="12" t="s">
        <v>4</v>
      </c>
    </row>
    <row r="51" spans="1:12" s="12" customFormat="1" ht="28.5" x14ac:dyDescent="0.25">
      <c r="A51" s="44" t="s">
        <v>541</v>
      </c>
      <c r="B51" s="77">
        <f>150</f>
        <v>150</v>
      </c>
      <c r="C51" s="77" t="s">
        <v>78</v>
      </c>
      <c r="D51" s="77" t="s">
        <v>78</v>
      </c>
      <c r="E51" s="77">
        <v>6</v>
      </c>
      <c r="F51" s="77">
        <v>0</v>
      </c>
      <c r="G51" s="77">
        <f>24-E51</f>
        <v>18</v>
      </c>
      <c r="H51" s="74">
        <f>B51*E51*365/1000</f>
        <v>328.5</v>
      </c>
      <c r="I51" s="45">
        <v>2015</v>
      </c>
      <c r="J51" s="44" t="s">
        <v>210</v>
      </c>
      <c r="K51" s="53" t="s">
        <v>262</v>
      </c>
      <c r="L51" s="12" t="s">
        <v>4</v>
      </c>
    </row>
    <row r="52" spans="1:12" s="12" customFormat="1" ht="28.5" x14ac:dyDescent="0.25">
      <c r="A52" s="55" t="s">
        <v>542</v>
      </c>
      <c r="B52" s="78">
        <f>75</f>
        <v>75</v>
      </c>
      <c r="C52" s="78" t="s">
        <v>78</v>
      </c>
      <c r="D52" s="78" t="s">
        <v>78</v>
      </c>
      <c r="E52" s="78">
        <v>6</v>
      </c>
      <c r="F52" s="78">
        <v>0</v>
      </c>
      <c r="G52" s="78">
        <f>24-E52</f>
        <v>18</v>
      </c>
      <c r="H52" s="73">
        <f>B52*E52*365/1000</f>
        <v>164.25</v>
      </c>
      <c r="I52" s="56">
        <v>2015</v>
      </c>
      <c r="J52" s="55" t="s">
        <v>210</v>
      </c>
      <c r="K52" s="57" t="s">
        <v>262</v>
      </c>
      <c r="L52" s="12" t="s">
        <v>4</v>
      </c>
    </row>
    <row r="53" spans="1:12" s="12" customFormat="1" ht="28.5" x14ac:dyDescent="0.25">
      <c r="A53" s="44" t="s">
        <v>438</v>
      </c>
      <c r="B53" s="77">
        <f>H53/E53/365*1000</f>
        <v>8.2191780821917799</v>
      </c>
      <c r="C53" s="77" t="s">
        <v>78</v>
      </c>
      <c r="D53" s="77" t="s">
        <v>78</v>
      </c>
      <c r="E53" s="77">
        <v>6</v>
      </c>
      <c r="F53" s="77">
        <v>0</v>
      </c>
      <c r="G53" s="77">
        <f>24-E53</f>
        <v>18</v>
      </c>
      <c r="H53" s="74">
        <v>18</v>
      </c>
      <c r="I53" s="45">
        <v>2015</v>
      </c>
      <c r="J53" s="44" t="s">
        <v>210</v>
      </c>
      <c r="K53" s="53" t="s">
        <v>262</v>
      </c>
      <c r="L53" s="12" t="s">
        <v>4</v>
      </c>
    </row>
    <row r="54" spans="1:12" s="12" customFormat="1" ht="28.5" x14ac:dyDescent="0.25">
      <c r="A54" s="55" t="s">
        <v>213</v>
      </c>
      <c r="B54" s="78" t="s">
        <v>78</v>
      </c>
      <c r="C54" s="78" t="s">
        <v>78</v>
      </c>
      <c r="D54" s="78" t="s">
        <v>78</v>
      </c>
      <c r="E54" s="78">
        <v>3.2</v>
      </c>
      <c r="F54" s="78">
        <v>14.6</v>
      </c>
      <c r="G54" s="78">
        <v>6.2</v>
      </c>
      <c r="H54" s="73">
        <v>174</v>
      </c>
      <c r="I54" s="56">
        <v>2015</v>
      </c>
      <c r="J54" s="55" t="s">
        <v>210</v>
      </c>
      <c r="K54" s="57" t="s">
        <v>262</v>
      </c>
      <c r="L54" s="12" t="s">
        <v>4</v>
      </c>
    </row>
    <row r="55" spans="1:12" s="12" customFormat="1" ht="28.5" x14ac:dyDescent="0.25">
      <c r="A55" s="44" t="s">
        <v>214</v>
      </c>
      <c r="B55" s="77" t="s">
        <v>78</v>
      </c>
      <c r="C55" s="77" t="s">
        <v>78</v>
      </c>
      <c r="D55" s="77" t="s">
        <v>78</v>
      </c>
      <c r="E55" s="77">
        <v>3.2</v>
      </c>
      <c r="F55" s="77">
        <v>14.6</v>
      </c>
      <c r="G55" s="77">
        <v>6.2</v>
      </c>
      <c r="H55" s="74">
        <v>161</v>
      </c>
      <c r="I55" s="45">
        <v>2015</v>
      </c>
      <c r="J55" s="44" t="s">
        <v>210</v>
      </c>
      <c r="K55" s="53" t="s">
        <v>262</v>
      </c>
      <c r="L55" s="12" t="s">
        <v>4</v>
      </c>
    </row>
    <row r="56" spans="1:12" s="12" customFormat="1" ht="28.5" x14ac:dyDescent="0.25">
      <c r="A56" s="55" t="s">
        <v>439</v>
      </c>
      <c r="B56" s="78">
        <v>3</v>
      </c>
      <c r="C56" s="78" t="s">
        <v>78</v>
      </c>
      <c r="D56" s="78" t="s">
        <v>78</v>
      </c>
      <c r="E56" s="78">
        <v>24</v>
      </c>
      <c r="F56" s="78" t="s">
        <v>78</v>
      </c>
      <c r="G56" s="78" t="s">
        <v>78</v>
      </c>
      <c r="H56" s="73">
        <f>B56*E56*365/1000</f>
        <v>26.28</v>
      </c>
      <c r="I56" s="56">
        <v>2014</v>
      </c>
      <c r="J56" s="55" t="s">
        <v>437</v>
      </c>
      <c r="K56" s="57" t="s">
        <v>203</v>
      </c>
    </row>
    <row r="57" spans="1:12" s="12" customFormat="1" ht="42.75" x14ac:dyDescent="0.25">
      <c r="A57" s="44" t="s">
        <v>160</v>
      </c>
      <c r="B57" s="77">
        <v>44</v>
      </c>
      <c r="C57" s="77">
        <v>7.5</v>
      </c>
      <c r="D57" s="77">
        <v>1.2</v>
      </c>
      <c r="E57" s="77">
        <v>2.7</v>
      </c>
      <c r="F57" s="77">
        <v>11.3</v>
      </c>
      <c r="G57" s="77">
        <v>10</v>
      </c>
      <c r="H57" s="74">
        <f>(B57*E57+C57*F57+D57*G57)*365/1000</f>
        <v>78.675749999999994</v>
      </c>
      <c r="I57" s="45">
        <v>2014</v>
      </c>
      <c r="J57" s="44" t="s">
        <v>113</v>
      </c>
      <c r="K57" s="53" t="s">
        <v>261</v>
      </c>
      <c r="L57" s="12" t="s">
        <v>4</v>
      </c>
    </row>
    <row r="58" spans="1:12" s="12" customFormat="1" ht="42.75" x14ac:dyDescent="0.25">
      <c r="A58" s="55" t="s">
        <v>161</v>
      </c>
      <c r="B58" s="78">
        <v>5.5</v>
      </c>
      <c r="C58" s="78">
        <v>2.4</v>
      </c>
      <c r="D58" s="78">
        <v>1.6</v>
      </c>
      <c r="E58" s="78">
        <v>2.7</v>
      </c>
      <c r="F58" s="78">
        <v>11.3</v>
      </c>
      <c r="G58" s="78">
        <v>10</v>
      </c>
      <c r="H58" s="73">
        <f>(B58*E58+C58*F58+D58*G58)*365/1000</f>
        <v>21.159050000000001</v>
      </c>
      <c r="I58" s="56">
        <v>2014</v>
      </c>
      <c r="J58" s="55" t="s">
        <v>113</v>
      </c>
      <c r="K58" s="57" t="s">
        <v>261</v>
      </c>
      <c r="L58" s="12" t="s">
        <v>4</v>
      </c>
    </row>
    <row r="59" spans="1:12" s="12" customFormat="1" ht="28.5" x14ac:dyDescent="0.25">
      <c r="A59" s="44" t="s">
        <v>385</v>
      </c>
      <c r="B59" s="77">
        <f>47/2/24/365*1000</f>
        <v>2.682648401826484</v>
      </c>
      <c r="C59" s="77" t="s">
        <v>78</v>
      </c>
      <c r="D59" s="77" t="s">
        <v>78</v>
      </c>
      <c r="E59" s="77">
        <v>2</v>
      </c>
      <c r="F59" s="77" t="s">
        <v>78</v>
      </c>
      <c r="G59" s="77">
        <v>22</v>
      </c>
      <c r="H59" s="74">
        <v>47</v>
      </c>
      <c r="I59" s="45">
        <v>2015</v>
      </c>
      <c r="J59" s="44" t="s">
        <v>210</v>
      </c>
      <c r="K59" s="53" t="s">
        <v>262</v>
      </c>
      <c r="L59" s="12" t="s">
        <v>4</v>
      </c>
    </row>
    <row r="60" spans="1:12" s="12" customFormat="1" ht="28.5" x14ac:dyDescent="0.25">
      <c r="A60" s="55" t="s">
        <v>215</v>
      </c>
      <c r="B60" s="78" t="s">
        <v>78</v>
      </c>
      <c r="C60" s="78" t="s">
        <v>78</v>
      </c>
      <c r="D60" s="78" t="s">
        <v>78</v>
      </c>
      <c r="E60" s="78">
        <v>3.2</v>
      </c>
      <c r="F60" s="78">
        <v>14.6</v>
      </c>
      <c r="G60" s="78">
        <v>6.2</v>
      </c>
      <c r="H60" s="73">
        <v>97</v>
      </c>
      <c r="I60" s="56">
        <v>2015</v>
      </c>
      <c r="J60" s="55" t="s">
        <v>210</v>
      </c>
      <c r="K60" s="57" t="s">
        <v>262</v>
      </c>
      <c r="L60" s="12" t="s">
        <v>4</v>
      </c>
    </row>
    <row r="61" spans="1:12" s="12" customFormat="1" ht="28.5" x14ac:dyDescent="0.25">
      <c r="A61" s="44" t="s">
        <v>289</v>
      </c>
      <c r="B61" s="77" t="s">
        <v>78</v>
      </c>
      <c r="C61" s="77" t="s">
        <v>78</v>
      </c>
      <c r="D61" s="77" t="s">
        <v>78</v>
      </c>
      <c r="E61" s="77">
        <v>3.2</v>
      </c>
      <c r="F61" s="77">
        <v>14.6</v>
      </c>
      <c r="G61" s="77">
        <v>6.2</v>
      </c>
      <c r="H61" s="74">
        <v>46</v>
      </c>
      <c r="I61" s="45">
        <v>2015</v>
      </c>
      <c r="J61" s="44" t="s">
        <v>210</v>
      </c>
      <c r="K61" s="53" t="s">
        <v>262</v>
      </c>
      <c r="L61" s="12" t="s">
        <v>4</v>
      </c>
    </row>
    <row r="62" spans="1:12" s="12" customFormat="1" ht="42.75" x14ac:dyDescent="0.25">
      <c r="A62" s="55" t="s">
        <v>120</v>
      </c>
      <c r="B62" s="78">
        <v>7</v>
      </c>
      <c r="C62" s="78">
        <v>0</v>
      </c>
      <c r="D62" s="78" t="s">
        <v>78</v>
      </c>
      <c r="E62" s="78">
        <v>21.4</v>
      </c>
      <c r="F62" s="78">
        <v>2.6</v>
      </c>
      <c r="G62" s="78" t="s">
        <v>78</v>
      </c>
      <c r="H62" s="73">
        <v>54.68</v>
      </c>
      <c r="I62" s="56">
        <v>2014</v>
      </c>
      <c r="J62" s="55" t="s">
        <v>113</v>
      </c>
      <c r="K62" s="57" t="s">
        <v>261</v>
      </c>
      <c r="L62" s="12" t="s">
        <v>4</v>
      </c>
    </row>
    <row r="63" spans="1:12" s="12" customFormat="1" ht="42.75" x14ac:dyDescent="0.25">
      <c r="A63" s="44" t="s">
        <v>32</v>
      </c>
      <c r="B63" s="77">
        <v>6.7</v>
      </c>
      <c r="C63" s="77">
        <v>0.1</v>
      </c>
      <c r="D63" s="77" t="s">
        <v>78</v>
      </c>
      <c r="E63" s="77">
        <v>21.4</v>
      </c>
      <c r="F63" s="77">
        <v>2.6</v>
      </c>
      <c r="G63" s="77" t="s">
        <v>78</v>
      </c>
      <c r="H63" s="74">
        <v>52.43</v>
      </c>
      <c r="I63" s="45">
        <v>2014</v>
      </c>
      <c r="J63" s="44" t="s">
        <v>113</v>
      </c>
      <c r="K63" s="53" t="s">
        <v>261</v>
      </c>
      <c r="L63" s="12" t="s">
        <v>4</v>
      </c>
    </row>
    <row r="64" spans="1:12" s="12" customFormat="1" ht="42.75" x14ac:dyDescent="0.25">
      <c r="A64" s="55" t="s">
        <v>33</v>
      </c>
      <c r="B64" s="78">
        <v>5.4</v>
      </c>
      <c r="C64" s="78">
        <v>0.1</v>
      </c>
      <c r="D64" s="78" t="s">
        <v>78</v>
      </c>
      <c r="E64" s="78">
        <v>21.4</v>
      </c>
      <c r="F64" s="78">
        <v>2.6</v>
      </c>
      <c r="G64" s="78" t="s">
        <v>78</v>
      </c>
      <c r="H64" s="73">
        <v>42.27</v>
      </c>
      <c r="I64" s="56">
        <v>2014</v>
      </c>
      <c r="J64" s="55" t="s">
        <v>113</v>
      </c>
      <c r="K64" s="57" t="s">
        <v>261</v>
      </c>
      <c r="L64" s="12" t="s">
        <v>4</v>
      </c>
    </row>
    <row r="65" spans="1:12" s="12" customFormat="1" ht="42.75" x14ac:dyDescent="0.25">
      <c r="A65" s="44" t="s">
        <v>115</v>
      </c>
      <c r="B65" s="77">
        <v>6.7</v>
      </c>
      <c r="C65" s="77">
        <v>0.1</v>
      </c>
      <c r="D65" s="77" t="s">
        <v>78</v>
      </c>
      <c r="E65" s="77">
        <v>21.4</v>
      </c>
      <c r="F65" s="77">
        <v>2.6</v>
      </c>
      <c r="G65" s="77" t="s">
        <v>78</v>
      </c>
      <c r="H65" s="74">
        <v>52.43</v>
      </c>
      <c r="I65" s="45">
        <v>2014</v>
      </c>
      <c r="J65" s="44" t="s">
        <v>113</v>
      </c>
      <c r="K65" s="53" t="s">
        <v>261</v>
      </c>
      <c r="L65" s="12" t="s">
        <v>4</v>
      </c>
    </row>
    <row r="66" spans="1:12" s="12" customFormat="1" ht="42.75" x14ac:dyDescent="0.25">
      <c r="A66" s="55" t="s">
        <v>116</v>
      </c>
      <c r="B66" s="78">
        <v>9.5</v>
      </c>
      <c r="C66" s="78">
        <v>0.1</v>
      </c>
      <c r="D66" s="78" t="s">
        <v>78</v>
      </c>
      <c r="E66" s="78">
        <v>21.4</v>
      </c>
      <c r="F66" s="78">
        <v>2.6</v>
      </c>
      <c r="G66" s="78" t="s">
        <v>78</v>
      </c>
      <c r="H66" s="73">
        <v>74.3</v>
      </c>
      <c r="I66" s="56">
        <v>2014</v>
      </c>
      <c r="J66" s="55" t="s">
        <v>113</v>
      </c>
      <c r="K66" s="57" t="s">
        <v>261</v>
      </c>
      <c r="L66" s="12" t="s">
        <v>4</v>
      </c>
    </row>
    <row r="67" spans="1:12" s="12" customFormat="1" ht="28.5" x14ac:dyDescent="0.25">
      <c r="A67" s="44" t="s">
        <v>543</v>
      </c>
      <c r="B67" s="77" t="s">
        <v>78</v>
      </c>
      <c r="C67" s="77" t="s">
        <v>78</v>
      </c>
      <c r="D67" s="77" t="s">
        <v>78</v>
      </c>
      <c r="E67" s="77">
        <v>3.2</v>
      </c>
      <c r="F67" s="77">
        <v>14.6</v>
      </c>
      <c r="G67" s="77">
        <v>6.2</v>
      </c>
      <c r="H67" s="74">
        <v>96</v>
      </c>
      <c r="I67" s="45">
        <v>2015</v>
      </c>
      <c r="J67" s="44" t="s">
        <v>210</v>
      </c>
      <c r="K67" s="53" t="s">
        <v>262</v>
      </c>
    </row>
    <row r="68" spans="1:12" s="12" customFormat="1" ht="28.5" x14ac:dyDescent="0.25">
      <c r="A68" s="55" t="s">
        <v>544</v>
      </c>
      <c r="B68" s="78" t="s">
        <v>78</v>
      </c>
      <c r="C68" s="78" t="s">
        <v>78</v>
      </c>
      <c r="D68" s="78" t="s">
        <v>78</v>
      </c>
      <c r="E68" s="78">
        <v>3.2</v>
      </c>
      <c r="F68" s="78">
        <v>14.6</v>
      </c>
      <c r="G68" s="78">
        <v>6.2</v>
      </c>
      <c r="H68" s="73">
        <v>60</v>
      </c>
      <c r="I68" s="56">
        <v>2015</v>
      </c>
      <c r="J68" s="55" t="s">
        <v>210</v>
      </c>
      <c r="K68" s="57" t="s">
        <v>262</v>
      </c>
    </row>
    <row r="69" spans="1:12" s="12" customFormat="1" ht="28.5" x14ac:dyDescent="0.25">
      <c r="A69" s="44" t="s">
        <v>440</v>
      </c>
      <c r="B69" s="77">
        <f>H69/E69/365*1000</f>
        <v>723.28767123287673</v>
      </c>
      <c r="C69" s="77" t="s">
        <v>78</v>
      </c>
      <c r="D69" s="77" t="s">
        <v>78</v>
      </c>
      <c r="E69" s="77">
        <v>0.25</v>
      </c>
      <c r="F69" s="77" t="s">
        <v>78</v>
      </c>
      <c r="G69" s="77">
        <f>24-E69</f>
        <v>23.75</v>
      </c>
      <c r="H69" s="74">
        <v>66</v>
      </c>
      <c r="I69" s="45">
        <v>2015</v>
      </c>
      <c r="J69" s="44" t="s">
        <v>210</v>
      </c>
      <c r="K69" s="53" t="s">
        <v>262</v>
      </c>
      <c r="L69" s="12" t="s">
        <v>4</v>
      </c>
    </row>
    <row r="70" spans="1:12" s="12" customFormat="1" ht="28.5" x14ac:dyDescent="0.25">
      <c r="A70" s="55" t="s">
        <v>440</v>
      </c>
      <c r="B70" s="78">
        <f>H70/E70/365*1000</f>
        <v>42.546333601933924</v>
      </c>
      <c r="C70" s="78" t="s">
        <v>78</v>
      </c>
      <c r="D70" s="78" t="s">
        <v>78</v>
      </c>
      <c r="E70" s="78">
        <v>4.25</v>
      </c>
      <c r="F70" s="78" t="s">
        <v>78</v>
      </c>
      <c r="G70" s="78">
        <f>24-E70</f>
        <v>19.75</v>
      </c>
      <c r="H70" s="73">
        <v>66</v>
      </c>
      <c r="I70" s="56">
        <v>2015</v>
      </c>
      <c r="J70" s="55" t="s">
        <v>210</v>
      </c>
      <c r="K70" s="57" t="s">
        <v>262</v>
      </c>
      <c r="L70" s="12" t="s">
        <v>4</v>
      </c>
    </row>
    <row r="71" spans="1:12" s="12" customFormat="1" ht="30.75" customHeight="1" x14ac:dyDescent="0.25">
      <c r="A71" s="44" t="s">
        <v>440</v>
      </c>
      <c r="B71" s="77">
        <f>H71/E71/365*1000</f>
        <v>34.442270058708417</v>
      </c>
      <c r="C71" s="77" t="s">
        <v>78</v>
      </c>
      <c r="D71" s="77" t="s">
        <v>78</v>
      </c>
      <c r="E71" s="77">
        <v>5.25</v>
      </c>
      <c r="F71" s="77" t="s">
        <v>78</v>
      </c>
      <c r="G71" s="77">
        <f>24-E71</f>
        <v>18.75</v>
      </c>
      <c r="H71" s="74">
        <v>66</v>
      </c>
      <c r="I71" s="45">
        <v>2015</v>
      </c>
      <c r="J71" s="44" t="s">
        <v>210</v>
      </c>
      <c r="K71" s="53" t="s">
        <v>262</v>
      </c>
      <c r="L71" s="8"/>
    </row>
    <row r="72" spans="1:12" s="12" customFormat="1" ht="28.5" x14ac:dyDescent="0.25">
      <c r="A72" s="55" t="s">
        <v>441</v>
      </c>
      <c r="B72" s="78" t="s">
        <v>78</v>
      </c>
      <c r="C72" s="78" t="s">
        <v>78</v>
      </c>
      <c r="D72" s="78" t="s">
        <v>78</v>
      </c>
      <c r="E72" s="78">
        <v>0.5</v>
      </c>
      <c r="F72" s="78">
        <v>7.5</v>
      </c>
      <c r="G72" s="78">
        <f>24-F72-E72</f>
        <v>16</v>
      </c>
      <c r="H72" s="73">
        <v>273</v>
      </c>
      <c r="I72" s="56">
        <v>2015</v>
      </c>
      <c r="J72" s="55" t="s">
        <v>210</v>
      </c>
      <c r="K72" s="57" t="s">
        <v>262</v>
      </c>
      <c r="L72" s="8"/>
    </row>
    <row r="73" spans="1:12" s="12" customFormat="1" ht="28.5" x14ac:dyDescent="0.25">
      <c r="A73" s="44" t="s">
        <v>534</v>
      </c>
      <c r="B73" s="77" t="s">
        <v>78</v>
      </c>
      <c r="C73" s="77" t="s">
        <v>78</v>
      </c>
      <c r="D73" s="77" t="s">
        <v>78</v>
      </c>
      <c r="E73" s="77">
        <v>0.5</v>
      </c>
      <c r="F73" s="77">
        <v>7.5</v>
      </c>
      <c r="G73" s="77">
        <f>24-F73-E73</f>
        <v>16</v>
      </c>
      <c r="H73" s="74">
        <v>291</v>
      </c>
      <c r="I73" s="45">
        <v>2015</v>
      </c>
      <c r="J73" s="44" t="s">
        <v>210</v>
      </c>
      <c r="K73" s="53" t="s">
        <v>262</v>
      </c>
      <c r="L73" s="8"/>
    </row>
    <row r="74" spans="1:12" s="12" customFormat="1" ht="28.5" x14ac:dyDescent="0.25">
      <c r="A74" s="55" t="s">
        <v>535</v>
      </c>
      <c r="B74" s="78">
        <f>H74/E74/365*1000</f>
        <v>1369.8630136986301</v>
      </c>
      <c r="C74" s="78" t="s">
        <v>78</v>
      </c>
      <c r="D74" s="78" t="s">
        <v>78</v>
      </c>
      <c r="E74" s="78">
        <v>0.25</v>
      </c>
      <c r="F74" s="78" t="s">
        <v>78</v>
      </c>
      <c r="G74" s="78">
        <f>24-E74</f>
        <v>23.75</v>
      </c>
      <c r="H74" s="73">
        <v>125</v>
      </c>
      <c r="I74" s="56">
        <v>2015</v>
      </c>
      <c r="J74" s="55" t="s">
        <v>210</v>
      </c>
      <c r="K74" s="57" t="s">
        <v>262</v>
      </c>
      <c r="L74" s="8"/>
    </row>
    <row r="75" spans="1:12" s="12" customFormat="1" ht="42.75" x14ac:dyDescent="0.25">
      <c r="A75" s="44" t="s">
        <v>442</v>
      </c>
      <c r="B75" s="77">
        <v>642.4</v>
      </c>
      <c r="C75" s="77">
        <v>69.099999999999994</v>
      </c>
      <c r="D75" s="77">
        <v>3</v>
      </c>
      <c r="E75" s="77" t="s">
        <v>78</v>
      </c>
      <c r="F75" s="77" t="s">
        <v>78</v>
      </c>
      <c r="G75" s="77" t="s">
        <v>78</v>
      </c>
      <c r="H75" s="74">
        <v>929</v>
      </c>
      <c r="I75" s="45">
        <v>2016</v>
      </c>
      <c r="J75" s="44" t="s">
        <v>245</v>
      </c>
      <c r="K75" s="53" t="s">
        <v>244</v>
      </c>
      <c r="L75" s="8"/>
    </row>
    <row r="76" spans="1:12" s="12" customFormat="1" ht="42.75" x14ac:dyDescent="0.25">
      <c r="A76" s="55" t="s">
        <v>443</v>
      </c>
      <c r="B76" s="78">
        <v>385.4</v>
      </c>
      <c r="C76" s="78">
        <v>73.599999999999994</v>
      </c>
      <c r="D76" s="78">
        <v>3</v>
      </c>
      <c r="E76" s="78" t="s">
        <v>78</v>
      </c>
      <c r="F76" s="78" t="s">
        <v>78</v>
      </c>
      <c r="G76" s="78" t="s">
        <v>78</v>
      </c>
      <c r="H76" s="73">
        <v>633</v>
      </c>
      <c r="I76" s="56">
        <v>2016</v>
      </c>
      <c r="J76" s="55" t="s">
        <v>245</v>
      </c>
      <c r="K76" s="57" t="s">
        <v>244</v>
      </c>
      <c r="L76" s="8"/>
    </row>
    <row r="77" spans="1:12" s="22" customFormat="1" ht="42.75" x14ac:dyDescent="0.25">
      <c r="A77" s="44" t="s">
        <v>151</v>
      </c>
      <c r="B77" s="77">
        <v>7.5</v>
      </c>
      <c r="C77" s="77">
        <v>1.8</v>
      </c>
      <c r="D77" s="77" t="s">
        <v>78</v>
      </c>
      <c r="E77" s="77">
        <v>21.4</v>
      </c>
      <c r="F77" s="77">
        <v>2.6</v>
      </c>
      <c r="G77" s="77" t="s">
        <v>78</v>
      </c>
      <c r="H77" s="74">
        <f>(F77*C77+E77*B77)*365/1000</f>
        <v>60.290700000000001</v>
      </c>
      <c r="I77" s="45">
        <v>2014</v>
      </c>
      <c r="J77" s="44" t="s">
        <v>113</v>
      </c>
      <c r="K77" s="53" t="s">
        <v>261</v>
      </c>
    </row>
    <row r="78" spans="1:12" s="12" customFormat="1" ht="42.75" x14ac:dyDescent="0.25">
      <c r="A78" s="55" t="s">
        <v>9</v>
      </c>
      <c r="B78" s="78">
        <v>10</v>
      </c>
      <c r="C78" s="78" t="s">
        <v>78</v>
      </c>
      <c r="D78" s="78">
        <v>1.5</v>
      </c>
      <c r="E78" s="78">
        <f>146/365</f>
        <v>0.4</v>
      </c>
      <c r="F78" s="78" t="s">
        <v>78</v>
      </c>
      <c r="G78" s="78">
        <f>8614/365</f>
        <v>23.6</v>
      </c>
      <c r="H78" s="73">
        <f>(G78*D78+E78*B78)*365/1000</f>
        <v>14.381000000000002</v>
      </c>
      <c r="I78" s="56">
        <v>2014</v>
      </c>
      <c r="J78" s="55" t="s">
        <v>113</v>
      </c>
      <c r="K78" s="57" t="s">
        <v>261</v>
      </c>
      <c r="L78" s="8"/>
    </row>
    <row r="79" spans="1:12" s="12" customFormat="1" ht="42.75" x14ac:dyDescent="0.25">
      <c r="A79" s="44" t="s">
        <v>118</v>
      </c>
      <c r="B79" s="77">
        <v>12</v>
      </c>
      <c r="C79" s="77">
        <v>0</v>
      </c>
      <c r="D79" s="77" t="s">
        <v>78</v>
      </c>
      <c r="E79" s="77">
        <v>21.4</v>
      </c>
      <c r="F79" s="77">
        <v>2.6</v>
      </c>
      <c r="G79" s="77" t="s">
        <v>78</v>
      </c>
      <c r="H79" s="74">
        <v>93.73</v>
      </c>
      <c r="I79" s="45">
        <v>2014</v>
      </c>
      <c r="J79" s="44" t="s">
        <v>113</v>
      </c>
      <c r="K79" s="53" t="s">
        <v>261</v>
      </c>
      <c r="L79" s="8"/>
    </row>
    <row r="80" spans="1:12" s="12" customFormat="1" x14ac:dyDescent="0.25">
      <c r="A80" s="40" t="s">
        <v>444</v>
      </c>
      <c r="B80" s="86"/>
      <c r="C80" s="86"/>
      <c r="D80" s="86"/>
      <c r="E80" s="86"/>
      <c r="F80" s="86"/>
      <c r="G80" s="86"/>
      <c r="H80" s="87"/>
      <c r="I80" s="66"/>
      <c r="J80" s="46"/>
      <c r="K80" s="54"/>
      <c r="L80" s="8"/>
    </row>
    <row r="81" spans="1:12" s="12" customFormat="1" x14ac:dyDescent="0.2">
      <c r="A81" s="44" t="s">
        <v>5</v>
      </c>
      <c r="B81" s="77">
        <v>300</v>
      </c>
      <c r="C81" s="77" t="s">
        <v>78</v>
      </c>
      <c r="D81" s="77" t="s">
        <v>78</v>
      </c>
      <c r="E81" s="77">
        <v>4.5662100456621009E-2</v>
      </c>
      <c r="F81" s="77" t="s">
        <v>78</v>
      </c>
      <c r="G81" s="77">
        <v>23.954337899543379</v>
      </c>
      <c r="H81" s="74">
        <v>5</v>
      </c>
      <c r="I81" s="45" t="s">
        <v>78</v>
      </c>
      <c r="J81" s="44" t="s">
        <v>445</v>
      </c>
      <c r="K81" s="88" t="s">
        <v>90</v>
      </c>
      <c r="L81" s="8"/>
    </row>
    <row r="82" spans="1:12" s="12" customFormat="1" ht="74.25" customHeight="1" x14ac:dyDescent="0.25">
      <c r="A82" s="55" t="s">
        <v>226</v>
      </c>
      <c r="B82" s="78">
        <v>1400</v>
      </c>
      <c r="C82" s="78" t="s">
        <v>78</v>
      </c>
      <c r="D82" s="78" t="s">
        <v>78</v>
      </c>
      <c r="E82" s="78">
        <v>0.14285714285714285</v>
      </c>
      <c r="F82" s="78" t="s">
        <v>78</v>
      </c>
      <c r="G82" s="78" t="s">
        <v>78</v>
      </c>
      <c r="H82" s="73">
        <f>B82*E82*365/1000</f>
        <v>73</v>
      </c>
      <c r="I82" s="56">
        <v>2014</v>
      </c>
      <c r="J82" s="55" t="s">
        <v>225</v>
      </c>
      <c r="K82" s="57" t="s">
        <v>224</v>
      </c>
      <c r="L82" s="8"/>
    </row>
    <row r="83" spans="1:12" s="12" customFormat="1" x14ac:dyDescent="0.2">
      <c r="A83" s="44" t="s">
        <v>34</v>
      </c>
      <c r="B83" s="77">
        <v>100</v>
      </c>
      <c r="C83" s="77" t="s">
        <v>78</v>
      </c>
      <c r="D83" s="77" t="s">
        <v>78</v>
      </c>
      <c r="E83" s="77">
        <v>4.1095890410958902E-2</v>
      </c>
      <c r="F83" s="77" t="s">
        <v>78</v>
      </c>
      <c r="G83" s="77">
        <v>23.958904109589042</v>
      </c>
      <c r="H83" s="74">
        <v>1.5</v>
      </c>
      <c r="I83" s="45" t="s">
        <v>78</v>
      </c>
      <c r="J83" s="44" t="s">
        <v>445</v>
      </c>
      <c r="K83" s="88" t="s">
        <v>90</v>
      </c>
      <c r="L83" s="8"/>
    </row>
    <row r="84" spans="1:12" s="12" customFormat="1" ht="28.5" x14ac:dyDescent="0.25">
      <c r="A84" s="55" t="s">
        <v>446</v>
      </c>
      <c r="B84" s="78">
        <f>H84/E84/365*1000</f>
        <v>1497.2602739726026</v>
      </c>
      <c r="C84" s="78" t="s">
        <v>78</v>
      </c>
      <c r="D84" s="78" t="s">
        <v>78</v>
      </c>
      <c r="E84" s="78">
        <v>2</v>
      </c>
      <c r="F84" s="78" t="s">
        <v>78</v>
      </c>
      <c r="G84" s="78">
        <f>24-E84</f>
        <v>22</v>
      </c>
      <c r="H84" s="73">
        <v>1093</v>
      </c>
      <c r="I84" s="56">
        <v>2015</v>
      </c>
      <c r="J84" s="55" t="s">
        <v>210</v>
      </c>
      <c r="K84" s="57" t="s">
        <v>262</v>
      </c>
      <c r="L84" s="8"/>
    </row>
    <row r="85" spans="1:12" s="12" customFormat="1" ht="28.5" x14ac:dyDescent="0.25">
      <c r="A85" s="44" t="s">
        <v>447</v>
      </c>
      <c r="B85" s="77" t="s">
        <v>78</v>
      </c>
      <c r="C85" s="77" t="s">
        <v>78</v>
      </c>
      <c r="D85" s="77" t="s">
        <v>78</v>
      </c>
      <c r="E85" s="77" t="s">
        <v>78</v>
      </c>
      <c r="F85" s="77" t="s">
        <v>78</v>
      </c>
      <c r="G85" s="77" t="s">
        <v>78</v>
      </c>
      <c r="H85" s="74">
        <v>107</v>
      </c>
      <c r="I85" s="45">
        <v>2015</v>
      </c>
      <c r="J85" s="44" t="s">
        <v>210</v>
      </c>
      <c r="K85" s="53" t="s">
        <v>262</v>
      </c>
      <c r="L85" s="8"/>
    </row>
    <row r="86" spans="1:12" s="12" customFormat="1" ht="28.5" x14ac:dyDescent="0.25">
      <c r="A86" s="55" t="s">
        <v>448</v>
      </c>
      <c r="B86" s="78">
        <f>H86/E86/365*1000</f>
        <v>1000</v>
      </c>
      <c r="C86" s="78" t="s">
        <v>78</v>
      </c>
      <c r="D86" s="78" t="s">
        <v>78</v>
      </c>
      <c r="E86" s="78">
        <v>2</v>
      </c>
      <c r="F86" s="78" t="s">
        <v>78</v>
      </c>
      <c r="G86" s="78">
        <f>24-E86</f>
        <v>22</v>
      </c>
      <c r="H86" s="73">
        <v>730</v>
      </c>
      <c r="I86" s="56">
        <v>2015</v>
      </c>
      <c r="J86" s="55" t="s">
        <v>210</v>
      </c>
      <c r="K86" s="57" t="s">
        <v>262</v>
      </c>
      <c r="L86" s="8"/>
    </row>
    <row r="87" spans="1:12" s="12" customFormat="1" ht="58.5" customHeight="1" x14ac:dyDescent="0.25">
      <c r="A87" s="44" t="s">
        <v>449</v>
      </c>
      <c r="B87" s="77" t="s">
        <v>78</v>
      </c>
      <c r="C87" s="77" t="s">
        <v>78</v>
      </c>
      <c r="D87" s="77" t="s">
        <v>78</v>
      </c>
      <c r="E87" s="77" t="s">
        <v>78</v>
      </c>
      <c r="F87" s="77" t="s">
        <v>78</v>
      </c>
      <c r="G87" s="77" t="s">
        <v>78</v>
      </c>
      <c r="H87" s="74">
        <v>924.4</v>
      </c>
      <c r="I87" s="45">
        <v>2016</v>
      </c>
      <c r="J87" s="62" t="s">
        <v>450</v>
      </c>
      <c r="K87" s="84" t="s">
        <v>451</v>
      </c>
      <c r="L87" s="8"/>
    </row>
    <row r="88" spans="1:12" s="12" customFormat="1" ht="58.5" customHeight="1" x14ac:dyDescent="0.25">
      <c r="A88" s="55" t="s">
        <v>452</v>
      </c>
      <c r="B88" s="78" t="s">
        <v>78</v>
      </c>
      <c r="C88" s="78" t="s">
        <v>78</v>
      </c>
      <c r="D88" s="78" t="s">
        <v>78</v>
      </c>
      <c r="E88" s="78" t="s">
        <v>78</v>
      </c>
      <c r="F88" s="78" t="s">
        <v>78</v>
      </c>
      <c r="G88" s="78" t="s">
        <v>78</v>
      </c>
      <c r="H88" s="73">
        <v>113.2</v>
      </c>
      <c r="I88" s="56">
        <v>2016</v>
      </c>
      <c r="J88" s="89" t="s">
        <v>450</v>
      </c>
      <c r="K88" s="83" t="s">
        <v>451</v>
      </c>
      <c r="L88" s="8"/>
    </row>
    <row r="89" spans="1:12" s="12" customFormat="1" ht="58.5" customHeight="1" x14ac:dyDescent="0.25">
      <c r="A89" s="44" t="s">
        <v>453</v>
      </c>
      <c r="B89" s="77" t="s">
        <v>78</v>
      </c>
      <c r="C89" s="77" t="s">
        <v>78</v>
      </c>
      <c r="D89" s="77" t="s">
        <v>78</v>
      </c>
      <c r="E89" s="77" t="s">
        <v>78</v>
      </c>
      <c r="F89" s="77" t="s">
        <v>78</v>
      </c>
      <c r="G89" s="77" t="s">
        <v>78</v>
      </c>
      <c r="H89" s="74">
        <v>121.2</v>
      </c>
      <c r="I89" s="45">
        <v>2016</v>
      </c>
      <c r="J89" s="62" t="s">
        <v>450</v>
      </c>
      <c r="K89" s="84" t="s">
        <v>451</v>
      </c>
      <c r="L89" s="8"/>
    </row>
    <row r="90" spans="1:12" s="12" customFormat="1" ht="28.5" x14ac:dyDescent="0.25">
      <c r="A90" s="55" t="s">
        <v>14</v>
      </c>
      <c r="B90" s="78">
        <f>630</f>
        <v>630</v>
      </c>
      <c r="C90" s="78" t="s">
        <v>78</v>
      </c>
      <c r="D90" s="78" t="s">
        <v>78</v>
      </c>
      <c r="E90" s="78">
        <v>1.1428571428571428</v>
      </c>
      <c r="F90" s="78" t="s">
        <v>78</v>
      </c>
      <c r="G90" s="78">
        <v>22.857142857142858</v>
      </c>
      <c r="H90" s="73">
        <v>252.94</v>
      </c>
      <c r="I90" s="56">
        <v>2016</v>
      </c>
      <c r="J90" s="55" t="s">
        <v>423</v>
      </c>
      <c r="K90" s="83" t="s">
        <v>424</v>
      </c>
      <c r="L90" s="8"/>
    </row>
    <row r="91" spans="1:12" s="12" customFormat="1" ht="28.5" x14ac:dyDescent="0.25">
      <c r="A91" s="44" t="s">
        <v>75</v>
      </c>
      <c r="B91" s="77">
        <f>550</f>
        <v>550</v>
      </c>
      <c r="C91" s="77" t="s">
        <v>78</v>
      </c>
      <c r="D91" s="77" t="s">
        <v>78</v>
      </c>
      <c r="E91" s="77">
        <v>1.1428571428571428</v>
      </c>
      <c r="F91" s="77" t="s">
        <v>78</v>
      </c>
      <c r="G91" s="77">
        <v>22.857142857142858</v>
      </c>
      <c r="H91" s="74">
        <f>B91/1000*E91*365</f>
        <v>229.42857142857142</v>
      </c>
      <c r="I91" s="45">
        <v>2016</v>
      </c>
      <c r="J91" s="62" t="s">
        <v>423</v>
      </c>
      <c r="K91" s="84" t="s">
        <v>424</v>
      </c>
      <c r="L91" s="8"/>
    </row>
    <row r="92" spans="1:12" s="12" customFormat="1" ht="28.5" x14ac:dyDescent="0.25">
      <c r="A92" s="55" t="s">
        <v>15</v>
      </c>
      <c r="B92" s="78">
        <v>822.26027397260304</v>
      </c>
      <c r="C92" s="78" t="s">
        <v>78</v>
      </c>
      <c r="D92" s="78" t="s">
        <v>78</v>
      </c>
      <c r="E92" s="78">
        <v>1.1428571428571428</v>
      </c>
      <c r="F92" s="78" t="s">
        <v>78</v>
      </c>
      <c r="G92" s="78">
        <v>22.857142857142858</v>
      </c>
      <c r="H92" s="73">
        <v>307</v>
      </c>
      <c r="I92" s="56">
        <v>2016</v>
      </c>
      <c r="J92" s="55" t="s">
        <v>423</v>
      </c>
      <c r="K92" s="83" t="s">
        <v>424</v>
      </c>
      <c r="L92" s="8"/>
    </row>
    <row r="93" spans="1:12" s="12" customFormat="1" ht="28.5" x14ac:dyDescent="0.25">
      <c r="A93" s="44" t="s">
        <v>76</v>
      </c>
      <c r="B93" s="77">
        <v>632.87671232876721</v>
      </c>
      <c r="C93" s="77" t="s">
        <v>78</v>
      </c>
      <c r="D93" s="77" t="s">
        <v>78</v>
      </c>
      <c r="E93" s="77">
        <v>1.1428571428571428</v>
      </c>
      <c r="F93" s="77" t="s">
        <v>78</v>
      </c>
      <c r="G93" s="77">
        <v>22.857142857142858</v>
      </c>
      <c r="H93" s="74">
        <v>270</v>
      </c>
      <c r="I93" s="45">
        <v>2016</v>
      </c>
      <c r="J93" s="62" t="s">
        <v>423</v>
      </c>
      <c r="K93" s="84" t="s">
        <v>424</v>
      </c>
      <c r="L93" s="8"/>
    </row>
    <row r="94" spans="1:12" s="12" customFormat="1" ht="72" customHeight="1" x14ac:dyDescent="0.25">
      <c r="A94" s="55" t="s">
        <v>454</v>
      </c>
      <c r="B94" s="78">
        <v>1800</v>
      </c>
      <c r="C94" s="78" t="s">
        <v>78</v>
      </c>
      <c r="D94" s="78" t="s">
        <v>78</v>
      </c>
      <c r="E94" s="78">
        <f>5/7</f>
        <v>0.7142857142857143</v>
      </c>
      <c r="F94" s="78" t="s">
        <v>78</v>
      </c>
      <c r="G94" s="78" t="s">
        <v>78</v>
      </c>
      <c r="H94" s="73">
        <f>B94*E94*365/1000</f>
        <v>469.28571428571433</v>
      </c>
      <c r="I94" s="56">
        <v>2014</v>
      </c>
      <c r="J94" s="55" t="s">
        <v>225</v>
      </c>
      <c r="K94" s="83" t="s">
        <v>224</v>
      </c>
      <c r="L94" s="8"/>
    </row>
    <row r="95" spans="1:12" s="12" customFormat="1" ht="28.5" x14ac:dyDescent="0.25">
      <c r="A95" s="44" t="s">
        <v>455</v>
      </c>
      <c r="B95" s="77">
        <f>H95/E95/24/365*1000</f>
        <v>56.164383561643831</v>
      </c>
      <c r="C95" s="77" t="s">
        <v>78</v>
      </c>
      <c r="D95" s="77" t="s">
        <v>78</v>
      </c>
      <c r="E95" s="77">
        <v>0.5</v>
      </c>
      <c r="F95" s="77" t="s">
        <v>78</v>
      </c>
      <c r="G95" s="77">
        <f>24-E95</f>
        <v>23.5</v>
      </c>
      <c r="H95" s="74">
        <v>246</v>
      </c>
      <c r="I95" s="45">
        <v>2015</v>
      </c>
      <c r="J95" s="44" t="s">
        <v>210</v>
      </c>
      <c r="K95" s="84" t="s">
        <v>262</v>
      </c>
    </row>
    <row r="96" spans="1:12" s="12" customFormat="1" ht="28.5" x14ac:dyDescent="0.25">
      <c r="A96" s="55" t="s">
        <v>456</v>
      </c>
      <c r="B96" s="78">
        <f>H96/E96/24/365*1000</f>
        <v>72.602739726027394</v>
      </c>
      <c r="C96" s="78" t="s">
        <v>78</v>
      </c>
      <c r="D96" s="78" t="s">
        <v>78</v>
      </c>
      <c r="E96" s="78">
        <v>0.5</v>
      </c>
      <c r="F96" s="78" t="s">
        <v>78</v>
      </c>
      <c r="G96" s="78">
        <f>24-E96</f>
        <v>23.5</v>
      </c>
      <c r="H96" s="73">
        <v>318</v>
      </c>
      <c r="I96" s="56">
        <v>2015</v>
      </c>
      <c r="J96" s="55" t="s">
        <v>210</v>
      </c>
      <c r="K96" s="83" t="s">
        <v>262</v>
      </c>
    </row>
    <row r="97" spans="1:12" s="12" customFormat="1" ht="30" customHeight="1" x14ac:dyDescent="0.25">
      <c r="A97" s="44" t="s">
        <v>35</v>
      </c>
      <c r="B97" s="77">
        <v>1094</v>
      </c>
      <c r="C97" s="77">
        <v>2</v>
      </c>
      <c r="D97" s="77">
        <v>0</v>
      </c>
      <c r="E97" s="77">
        <f>53/365</f>
        <v>0.14520547945205478</v>
      </c>
      <c r="F97" s="77">
        <v>19.536986301369861</v>
      </c>
      <c r="G97" s="77">
        <f>1568/365</f>
        <v>4.2958904109589042</v>
      </c>
      <c r="H97" s="74">
        <v>54.311999999999998</v>
      </c>
      <c r="I97" s="45">
        <v>2014</v>
      </c>
      <c r="J97" s="44" t="s">
        <v>202</v>
      </c>
      <c r="K97" s="84" t="s">
        <v>201</v>
      </c>
      <c r="L97" s="12" t="s">
        <v>4</v>
      </c>
    </row>
    <row r="98" spans="1:12" s="12" customFormat="1" x14ac:dyDescent="0.25">
      <c r="A98" s="55" t="s">
        <v>36</v>
      </c>
      <c r="B98" s="78">
        <v>1400</v>
      </c>
      <c r="C98" s="78" t="s">
        <v>78</v>
      </c>
      <c r="D98" s="78" t="s">
        <v>78</v>
      </c>
      <c r="E98" s="78">
        <v>8.2191780821917804E-2</v>
      </c>
      <c r="F98" s="78" t="s">
        <v>78</v>
      </c>
      <c r="G98" s="78">
        <v>23.917808219178081</v>
      </c>
      <c r="H98" s="73">
        <f>B98*E98*365/1000</f>
        <v>42</v>
      </c>
      <c r="I98" s="56" t="s">
        <v>78</v>
      </c>
      <c r="J98" s="55" t="s">
        <v>445</v>
      </c>
      <c r="K98" s="55" t="s">
        <v>90</v>
      </c>
      <c r="L98" s="12" t="s">
        <v>4</v>
      </c>
    </row>
    <row r="99" spans="1:12" s="12" customFormat="1" ht="28.5" x14ac:dyDescent="0.25">
      <c r="A99" s="44" t="s">
        <v>457</v>
      </c>
      <c r="B99" s="77" t="s">
        <v>78</v>
      </c>
      <c r="C99" s="77" t="s">
        <v>78</v>
      </c>
      <c r="D99" s="77" t="s">
        <v>78</v>
      </c>
      <c r="E99" s="77" t="s">
        <v>78</v>
      </c>
      <c r="F99" s="77" t="s">
        <v>78</v>
      </c>
      <c r="G99" s="77" t="s">
        <v>78</v>
      </c>
      <c r="H99" s="74">
        <v>128</v>
      </c>
      <c r="I99" s="45">
        <v>2014</v>
      </c>
      <c r="J99" s="44" t="s">
        <v>253</v>
      </c>
      <c r="K99" s="84" t="s">
        <v>279</v>
      </c>
      <c r="L99" s="8"/>
    </row>
    <row r="100" spans="1:12" s="12" customFormat="1" ht="28.5" x14ac:dyDescent="0.25">
      <c r="A100" s="55" t="s">
        <v>458</v>
      </c>
      <c r="B100" s="78" t="s">
        <v>78</v>
      </c>
      <c r="C100" s="78" t="s">
        <v>78</v>
      </c>
      <c r="D100" s="78" t="s">
        <v>78</v>
      </c>
      <c r="E100" s="78" t="s">
        <v>78</v>
      </c>
      <c r="F100" s="78" t="s">
        <v>78</v>
      </c>
      <c r="G100" s="78" t="s">
        <v>78</v>
      </c>
      <c r="H100" s="73">
        <v>71</v>
      </c>
      <c r="I100" s="56">
        <v>2014</v>
      </c>
      <c r="J100" s="55" t="s">
        <v>253</v>
      </c>
      <c r="K100" s="83" t="s">
        <v>279</v>
      </c>
      <c r="L100" s="8"/>
    </row>
    <row r="101" spans="1:12" s="12" customFormat="1" ht="28.5" x14ac:dyDescent="0.25">
      <c r="A101" s="44" t="s">
        <v>77</v>
      </c>
      <c r="B101" s="77">
        <v>3000</v>
      </c>
      <c r="C101" s="77">
        <v>2.2000000000000002</v>
      </c>
      <c r="D101" s="77" t="s">
        <v>78</v>
      </c>
      <c r="E101" s="77" t="s">
        <v>78</v>
      </c>
      <c r="F101" s="77" t="s">
        <v>78</v>
      </c>
      <c r="G101" s="77" t="s">
        <v>78</v>
      </c>
      <c r="H101" s="74">
        <v>355</v>
      </c>
      <c r="I101" s="45">
        <v>2015</v>
      </c>
      <c r="J101" s="44" t="s">
        <v>277</v>
      </c>
      <c r="K101" s="84" t="s">
        <v>278</v>
      </c>
      <c r="L101" s="8"/>
    </row>
    <row r="102" spans="1:12" s="12" customFormat="1" x14ac:dyDescent="0.25">
      <c r="A102" s="55" t="s">
        <v>37</v>
      </c>
      <c r="B102" s="78">
        <v>100</v>
      </c>
      <c r="C102" s="78" t="s">
        <v>78</v>
      </c>
      <c r="D102" s="78" t="s">
        <v>78</v>
      </c>
      <c r="E102" s="78">
        <v>8.2191780821917804E-2</v>
      </c>
      <c r="F102" s="78" t="s">
        <v>78</v>
      </c>
      <c r="G102" s="78">
        <v>23.917808219178081</v>
      </c>
      <c r="H102" s="73">
        <v>3</v>
      </c>
      <c r="I102" s="56" t="s">
        <v>78</v>
      </c>
      <c r="J102" s="55" t="s">
        <v>445</v>
      </c>
      <c r="K102" s="55" t="s">
        <v>90</v>
      </c>
      <c r="L102" s="8"/>
    </row>
    <row r="103" spans="1:12" s="12" customFormat="1" ht="28.5" x14ac:dyDescent="0.25">
      <c r="A103" s="44" t="s">
        <v>459</v>
      </c>
      <c r="B103" s="77" t="s">
        <v>78</v>
      </c>
      <c r="C103" s="77" t="s">
        <v>78</v>
      </c>
      <c r="D103" s="77" t="s">
        <v>78</v>
      </c>
      <c r="E103" s="77" t="s">
        <v>78</v>
      </c>
      <c r="F103" s="77" t="s">
        <v>78</v>
      </c>
      <c r="G103" s="77" t="s">
        <v>78</v>
      </c>
      <c r="H103" s="74">
        <v>294.5</v>
      </c>
      <c r="I103" s="45">
        <v>2015</v>
      </c>
      <c r="J103" s="44" t="s">
        <v>277</v>
      </c>
      <c r="K103" s="84" t="s">
        <v>278</v>
      </c>
      <c r="L103" s="8"/>
    </row>
    <row r="104" spans="1:12" s="12" customFormat="1" ht="28.5" x14ac:dyDescent="0.25">
      <c r="A104" s="55" t="s">
        <v>460</v>
      </c>
      <c r="B104" s="78">
        <f>H104/E104/365*1000</f>
        <v>1227.3972602739727</v>
      </c>
      <c r="C104" s="78" t="s">
        <v>78</v>
      </c>
      <c r="D104" s="78" t="s">
        <v>78</v>
      </c>
      <c r="E104" s="78">
        <v>0.5</v>
      </c>
      <c r="F104" s="78" t="s">
        <v>78</v>
      </c>
      <c r="G104" s="78">
        <f>24-E104</f>
        <v>23.5</v>
      </c>
      <c r="H104" s="73">
        <v>224</v>
      </c>
      <c r="I104" s="56">
        <v>2015</v>
      </c>
      <c r="J104" s="55" t="s">
        <v>210</v>
      </c>
      <c r="K104" s="83" t="s">
        <v>262</v>
      </c>
      <c r="L104" s="8"/>
    </row>
    <row r="105" spans="1:12" s="12" customFormat="1" ht="28.5" x14ac:dyDescent="0.25">
      <c r="A105" s="44" t="s">
        <v>461</v>
      </c>
      <c r="B105" s="77">
        <f>H105/E105/365*1000</f>
        <v>1101.3698630136985</v>
      </c>
      <c r="C105" s="77" t="s">
        <v>78</v>
      </c>
      <c r="D105" s="77" t="s">
        <v>78</v>
      </c>
      <c r="E105" s="77">
        <v>0.5</v>
      </c>
      <c r="F105" s="77" t="s">
        <v>78</v>
      </c>
      <c r="G105" s="77">
        <f>24-E105</f>
        <v>23.5</v>
      </c>
      <c r="H105" s="74">
        <v>201</v>
      </c>
      <c r="I105" s="45">
        <v>2015</v>
      </c>
      <c r="J105" s="44" t="s">
        <v>210</v>
      </c>
      <c r="K105" s="84" t="s">
        <v>262</v>
      </c>
      <c r="L105" s="8"/>
    </row>
    <row r="106" spans="1:12" s="12" customFormat="1" x14ac:dyDescent="0.25">
      <c r="A106" s="40" t="s">
        <v>254</v>
      </c>
      <c r="B106" s="86"/>
      <c r="C106" s="86"/>
      <c r="D106" s="86"/>
      <c r="E106" s="86"/>
      <c r="F106" s="86"/>
      <c r="G106" s="86"/>
      <c r="H106" s="87"/>
      <c r="I106" s="66"/>
      <c r="J106" s="46"/>
      <c r="K106" s="54"/>
      <c r="L106" s="8"/>
    </row>
    <row r="107" spans="1:12" s="12" customFormat="1" ht="42.75" x14ac:dyDescent="0.25">
      <c r="A107" s="44" t="s">
        <v>187</v>
      </c>
      <c r="B107" s="77" t="s">
        <v>78</v>
      </c>
      <c r="C107" s="77" t="s">
        <v>78</v>
      </c>
      <c r="D107" s="77" t="s">
        <v>78</v>
      </c>
      <c r="E107" s="77" t="s">
        <v>78</v>
      </c>
      <c r="F107" s="77" t="s">
        <v>78</v>
      </c>
      <c r="G107" s="77" t="s">
        <v>78</v>
      </c>
      <c r="H107" s="74">
        <v>608</v>
      </c>
      <c r="I107" s="45">
        <v>2016</v>
      </c>
      <c r="J107" s="44" t="s">
        <v>102</v>
      </c>
      <c r="K107" s="84" t="s">
        <v>462</v>
      </c>
      <c r="L107" s="8"/>
    </row>
    <row r="108" spans="1:12" s="12" customFormat="1" ht="42.75" x14ac:dyDescent="0.25">
      <c r="A108" s="55" t="s">
        <v>86</v>
      </c>
      <c r="B108" s="78" t="s">
        <v>78</v>
      </c>
      <c r="C108" s="78" t="s">
        <v>78</v>
      </c>
      <c r="D108" s="78" t="s">
        <v>78</v>
      </c>
      <c r="E108" s="78" t="s">
        <v>78</v>
      </c>
      <c r="F108" s="78" t="s">
        <v>78</v>
      </c>
      <c r="G108" s="78" t="s">
        <v>78</v>
      </c>
      <c r="H108" s="73">
        <v>769</v>
      </c>
      <c r="I108" s="56">
        <v>2016</v>
      </c>
      <c r="J108" s="55" t="s">
        <v>102</v>
      </c>
      <c r="K108" s="83" t="s">
        <v>462</v>
      </c>
      <c r="L108" s="8"/>
    </row>
    <row r="109" spans="1:12" s="12" customFormat="1" ht="71.25" customHeight="1" x14ac:dyDescent="0.25">
      <c r="A109" s="44" t="s">
        <v>69</v>
      </c>
      <c r="B109" s="77">
        <v>1100</v>
      </c>
      <c r="C109" s="77" t="s">
        <v>78</v>
      </c>
      <c r="D109" s="77" t="s">
        <v>78</v>
      </c>
      <c r="E109" s="77">
        <f>1/7</f>
        <v>0.14285714285714285</v>
      </c>
      <c r="F109" s="77" t="s">
        <v>78</v>
      </c>
      <c r="G109" s="77">
        <f>24-E109</f>
        <v>23.857142857142858</v>
      </c>
      <c r="H109" s="74">
        <f>B109*E109*365/1000</f>
        <v>57.357142857142854</v>
      </c>
      <c r="I109" s="45">
        <v>2014</v>
      </c>
      <c r="J109" s="44" t="s">
        <v>225</v>
      </c>
      <c r="K109" s="84" t="s">
        <v>224</v>
      </c>
      <c r="L109" s="8"/>
    </row>
    <row r="110" spans="1:12" s="12" customFormat="1" ht="28.5" x14ac:dyDescent="0.25">
      <c r="A110" s="55" t="s">
        <v>17</v>
      </c>
      <c r="B110" s="78" t="s">
        <v>78</v>
      </c>
      <c r="C110" s="78" t="s">
        <v>78</v>
      </c>
      <c r="D110" s="78" t="s">
        <v>78</v>
      </c>
      <c r="E110" s="78" t="s">
        <v>78</v>
      </c>
      <c r="F110" s="78" t="s">
        <v>78</v>
      </c>
      <c r="G110" s="78" t="s">
        <v>78</v>
      </c>
      <c r="H110" s="73">
        <v>57</v>
      </c>
      <c r="I110" s="56">
        <v>2016</v>
      </c>
      <c r="J110" s="55" t="s">
        <v>423</v>
      </c>
      <c r="K110" s="83" t="s">
        <v>424</v>
      </c>
      <c r="L110" s="8"/>
    </row>
    <row r="111" spans="1:12" s="12" customFormat="1" ht="28.5" x14ac:dyDescent="0.25">
      <c r="A111" s="44" t="s">
        <v>72</v>
      </c>
      <c r="B111" s="77" t="s">
        <v>78</v>
      </c>
      <c r="C111" s="77" t="s">
        <v>78</v>
      </c>
      <c r="D111" s="77" t="s">
        <v>78</v>
      </c>
      <c r="E111" s="77" t="s">
        <v>78</v>
      </c>
      <c r="F111" s="77" t="s">
        <v>78</v>
      </c>
      <c r="G111" s="77" t="s">
        <v>78</v>
      </c>
      <c r="H111" s="74">
        <v>35</v>
      </c>
      <c r="I111" s="45">
        <v>2016</v>
      </c>
      <c r="J111" s="62" t="s">
        <v>423</v>
      </c>
      <c r="K111" s="84" t="s">
        <v>424</v>
      </c>
      <c r="L111" s="8"/>
    </row>
    <row r="112" spans="1:12" s="12" customFormat="1" ht="28.5" x14ac:dyDescent="0.25">
      <c r="A112" s="55" t="s">
        <v>18</v>
      </c>
      <c r="B112" s="78" t="s">
        <v>78</v>
      </c>
      <c r="C112" s="78" t="s">
        <v>78</v>
      </c>
      <c r="D112" s="78" t="s">
        <v>78</v>
      </c>
      <c r="E112" s="78" t="s">
        <v>78</v>
      </c>
      <c r="F112" s="78" t="s">
        <v>78</v>
      </c>
      <c r="G112" s="78" t="s">
        <v>78</v>
      </c>
      <c r="H112" s="73">
        <v>286</v>
      </c>
      <c r="I112" s="56">
        <v>2016</v>
      </c>
      <c r="J112" s="55" t="s">
        <v>423</v>
      </c>
      <c r="K112" s="83" t="s">
        <v>424</v>
      </c>
      <c r="L112" s="8"/>
    </row>
    <row r="113" spans="1:12" s="12" customFormat="1" ht="28.5" x14ac:dyDescent="0.25">
      <c r="A113" s="44" t="s">
        <v>73</v>
      </c>
      <c r="B113" s="77" t="s">
        <v>78</v>
      </c>
      <c r="C113" s="77" t="s">
        <v>78</v>
      </c>
      <c r="D113" s="77" t="s">
        <v>78</v>
      </c>
      <c r="E113" s="77" t="s">
        <v>78</v>
      </c>
      <c r="F113" s="77" t="s">
        <v>78</v>
      </c>
      <c r="G113" s="77" t="s">
        <v>78</v>
      </c>
      <c r="H113" s="74">
        <v>173</v>
      </c>
      <c r="I113" s="45">
        <v>2016</v>
      </c>
      <c r="J113" s="62" t="s">
        <v>423</v>
      </c>
      <c r="K113" s="84" t="s">
        <v>424</v>
      </c>
      <c r="L113" s="8"/>
    </row>
    <row r="114" spans="1:12" s="12" customFormat="1" ht="28.5" x14ac:dyDescent="0.25">
      <c r="A114" s="55" t="s">
        <v>19</v>
      </c>
      <c r="B114" s="78" t="s">
        <v>78</v>
      </c>
      <c r="C114" s="78" t="s">
        <v>78</v>
      </c>
      <c r="D114" s="78" t="s">
        <v>78</v>
      </c>
      <c r="E114" s="78" t="s">
        <v>78</v>
      </c>
      <c r="F114" s="78" t="s">
        <v>78</v>
      </c>
      <c r="G114" s="78" t="s">
        <v>78</v>
      </c>
      <c r="H114" s="73">
        <v>1061</v>
      </c>
      <c r="I114" s="56">
        <v>2016</v>
      </c>
      <c r="J114" s="55" t="s">
        <v>423</v>
      </c>
      <c r="K114" s="83" t="s">
        <v>424</v>
      </c>
      <c r="L114" s="8"/>
    </row>
    <row r="115" spans="1:12" s="12" customFormat="1" ht="28.5" x14ac:dyDescent="0.25">
      <c r="A115" s="44" t="s">
        <v>74</v>
      </c>
      <c r="B115" s="77" t="s">
        <v>78</v>
      </c>
      <c r="C115" s="77" t="s">
        <v>78</v>
      </c>
      <c r="D115" s="77" t="s">
        <v>78</v>
      </c>
      <c r="E115" s="77" t="s">
        <v>78</v>
      </c>
      <c r="F115" s="77" t="s">
        <v>78</v>
      </c>
      <c r="G115" s="77" t="s">
        <v>78</v>
      </c>
      <c r="H115" s="74">
        <v>665</v>
      </c>
      <c r="I115" s="45">
        <v>2016</v>
      </c>
      <c r="J115" s="62" t="s">
        <v>423</v>
      </c>
      <c r="K115" s="84" t="s">
        <v>424</v>
      </c>
      <c r="L115" s="12" t="s">
        <v>4</v>
      </c>
    </row>
    <row r="116" spans="1:12" s="12" customFormat="1" x14ac:dyDescent="0.25">
      <c r="A116" s="40" t="s">
        <v>463</v>
      </c>
      <c r="B116" s="86"/>
      <c r="C116" s="86"/>
      <c r="D116" s="86"/>
      <c r="E116" s="86"/>
      <c r="F116" s="86"/>
      <c r="G116" s="86"/>
      <c r="H116" s="87"/>
      <c r="I116" s="66"/>
      <c r="J116" s="46"/>
      <c r="K116" s="54"/>
      <c r="L116" s="8"/>
    </row>
    <row r="117" spans="1:12" s="12" customFormat="1" ht="30" customHeight="1" x14ac:dyDescent="0.25">
      <c r="A117" s="44" t="s">
        <v>464</v>
      </c>
      <c r="B117" s="77">
        <v>250</v>
      </c>
      <c r="C117" s="77" t="s">
        <v>78</v>
      </c>
      <c r="D117" s="77" t="s">
        <v>78</v>
      </c>
      <c r="E117" s="77">
        <v>24</v>
      </c>
      <c r="F117" s="77" t="s">
        <v>78</v>
      </c>
      <c r="G117" s="77" t="s">
        <v>78</v>
      </c>
      <c r="H117" s="74">
        <v>2190</v>
      </c>
      <c r="I117" s="45" t="s">
        <v>78</v>
      </c>
      <c r="J117" s="44" t="s">
        <v>103</v>
      </c>
      <c r="K117" s="84" t="s">
        <v>465</v>
      </c>
      <c r="L117" s="8"/>
    </row>
    <row r="118" spans="1:12" s="12" customFormat="1" ht="42.75" customHeight="1" x14ac:dyDescent="0.25">
      <c r="A118" s="55" t="s">
        <v>93</v>
      </c>
      <c r="B118" s="78">
        <v>0.6</v>
      </c>
      <c r="C118" s="78" t="s">
        <v>78</v>
      </c>
      <c r="D118" s="78">
        <v>0</v>
      </c>
      <c r="E118" s="78">
        <v>23.3</v>
      </c>
      <c r="F118" s="78" t="s">
        <v>78</v>
      </c>
      <c r="G118" s="78">
        <v>0.7</v>
      </c>
      <c r="H118" s="73">
        <v>4.4000000000000004</v>
      </c>
      <c r="I118" s="56">
        <v>2010</v>
      </c>
      <c r="J118" s="55" t="s">
        <v>95</v>
      </c>
      <c r="K118" s="83" t="s">
        <v>433</v>
      </c>
      <c r="L118" s="8"/>
    </row>
    <row r="119" spans="1:12" s="12" customFormat="1" ht="28.5" x14ac:dyDescent="0.25">
      <c r="A119" s="44" t="s">
        <v>27</v>
      </c>
      <c r="B119" s="77">
        <v>2.9</v>
      </c>
      <c r="C119" s="77" t="s">
        <v>78</v>
      </c>
      <c r="D119" s="77">
        <v>1</v>
      </c>
      <c r="E119" s="77">
        <v>1.06</v>
      </c>
      <c r="F119" s="77" t="s">
        <v>78</v>
      </c>
      <c r="G119" s="77">
        <v>22.94</v>
      </c>
      <c r="H119" s="74">
        <v>9.5</v>
      </c>
      <c r="I119" s="45">
        <v>2006</v>
      </c>
      <c r="J119" s="44" t="s">
        <v>100</v>
      </c>
      <c r="K119" s="62" t="s">
        <v>90</v>
      </c>
      <c r="L119" s="8"/>
    </row>
    <row r="120" spans="1:12" s="12" customFormat="1" ht="42.75" x14ac:dyDescent="0.25">
      <c r="A120" s="55" t="s">
        <v>28</v>
      </c>
      <c r="B120" s="78">
        <v>4</v>
      </c>
      <c r="C120" s="78" t="s">
        <v>78</v>
      </c>
      <c r="D120" s="78">
        <v>0.3</v>
      </c>
      <c r="E120" s="78">
        <f>13/365</f>
        <v>3.5616438356164383E-2</v>
      </c>
      <c r="F120" s="78" t="s">
        <v>78</v>
      </c>
      <c r="G120" s="78">
        <f>8752/365</f>
        <v>23.978082191780821</v>
      </c>
      <c r="H120" s="73">
        <f>(G120*D120+E120*B120)*365/1000</f>
        <v>2.6776</v>
      </c>
      <c r="I120" s="56">
        <v>2014</v>
      </c>
      <c r="J120" s="55" t="s">
        <v>113</v>
      </c>
      <c r="K120" s="83" t="s">
        <v>261</v>
      </c>
      <c r="L120" s="8"/>
    </row>
    <row r="121" spans="1:12" s="12" customFormat="1" ht="71.25" customHeight="1" x14ac:dyDescent="0.25">
      <c r="A121" s="44" t="s">
        <v>71</v>
      </c>
      <c r="B121" s="77">
        <v>400</v>
      </c>
      <c r="C121" s="77" t="s">
        <v>78</v>
      </c>
      <c r="D121" s="77" t="s">
        <v>78</v>
      </c>
      <c r="E121" s="77">
        <f>8*90/365</f>
        <v>1.9726027397260273</v>
      </c>
      <c r="F121" s="77" t="s">
        <v>78</v>
      </c>
      <c r="G121" s="77">
        <v>23.561643835616437</v>
      </c>
      <c r="H121" s="74">
        <f>B121*E121*365/1000</f>
        <v>288</v>
      </c>
      <c r="I121" s="45">
        <v>2014</v>
      </c>
      <c r="J121" s="44" t="s">
        <v>225</v>
      </c>
      <c r="K121" s="84" t="s">
        <v>224</v>
      </c>
      <c r="L121" s="8"/>
    </row>
    <row r="122" spans="1:12" s="12" customFormat="1" ht="72" customHeight="1" x14ac:dyDescent="0.25">
      <c r="A122" s="55" t="s">
        <v>477</v>
      </c>
      <c r="B122" s="78">
        <v>400</v>
      </c>
      <c r="C122" s="78">
        <v>2.8</v>
      </c>
      <c r="D122" s="78" t="s">
        <v>78</v>
      </c>
      <c r="E122" s="78">
        <f>0.1</f>
        <v>0.1</v>
      </c>
      <c r="F122" s="78">
        <v>23.865753424657534</v>
      </c>
      <c r="G122" s="78">
        <v>0</v>
      </c>
      <c r="H122" s="73">
        <f>(B122*E122*365/1000 ) +C122*F122*365/1000</f>
        <v>38.990799999999993</v>
      </c>
      <c r="I122" s="56">
        <v>2014</v>
      </c>
      <c r="J122" s="55" t="s">
        <v>225</v>
      </c>
      <c r="K122" s="83" t="s">
        <v>224</v>
      </c>
      <c r="L122" s="8"/>
    </row>
    <row r="123" spans="1:12" s="12" customFormat="1" ht="42.75" x14ac:dyDescent="0.25">
      <c r="A123" s="44" t="s">
        <v>162</v>
      </c>
      <c r="B123" s="77">
        <v>1.4</v>
      </c>
      <c r="C123" s="77">
        <v>1.2</v>
      </c>
      <c r="D123" s="77">
        <v>0.3</v>
      </c>
      <c r="E123" s="77">
        <f>73/365</f>
        <v>0.2</v>
      </c>
      <c r="F123" s="77">
        <f>110/365</f>
        <v>0.30136986301369861</v>
      </c>
      <c r="G123" s="77">
        <f>8578/365</f>
        <v>23.5013698630137</v>
      </c>
      <c r="H123" s="74">
        <f>(G123*D123+F123*C123+E123*B123)*365/1000</f>
        <v>2.8076000000000003</v>
      </c>
      <c r="I123" s="45">
        <v>2014</v>
      </c>
      <c r="J123" s="44" t="s">
        <v>113</v>
      </c>
      <c r="K123" s="84" t="s">
        <v>261</v>
      </c>
      <c r="L123" s="8"/>
    </row>
    <row r="124" spans="1:12" s="12" customFormat="1" ht="28.5" x14ac:dyDescent="0.25">
      <c r="A124" s="55" t="s">
        <v>476</v>
      </c>
      <c r="B124" s="78">
        <v>55</v>
      </c>
      <c r="C124" s="78" t="s">
        <v>78</v>
      </c>
      <c r="D124" s="78" t="s">
        <v>78</v>
      </c>
      <c r="E124" s="78">
        <v>24</v>
      </c>
      <c r="F124" s="78" t="s">
        <v>78</v>
      </c>
      <c r="G124" s="78" t="s">
        <v>78</v>
      </c>
      <c r="H124" s="73">
        <f>B124*E124*365/1000</f>
        <v>481.8</v>
      </c>
      <c r="I124" s="56">
        <v>2015</v>
      </c>
      <c r="J124" s="55" t="s">
        <v>540</v>
      </c>
      <c r="K124" s="83" t="s">
        <v>227</v>
      </c>
      <c r="L124" s="8"/>
    </row>
    <row r="125" spans="1:12" s="12" customFormat="1" ht="28.5" x14ac:dyDescent="0.25">
      <c r="A125" s="44" t="s">
        <v>475</v>
      </c>
      <c r="B125" s="77">
        <v>140</v>
      </c>
      <c r="C125" s="77" t="s">
        <v>78</v>
      </c>
      <c r="D125" s="77" t="s">
        <v>78</v>
      </c>
      <c r="E125" s="77">
        <v>24</v>
      </c>
      <c r="F125" s="77" t="s">
        <v>78</v>
      </c>
      <c r="G125" s="77" t="s">
        <v>78</v>
      </c>
      <c r="H125" s="74">
        <f>B125*E125*365/1000</f>
        <v>1226.4000000000001</v>
      </c>
      <c r="I125" s="45">
        <v>2015</v>
      </c>
      <c r="J125" s="62" t="s">
        <v>540</v>
      </c>
      <c r="K125" s="84" t="s">
        <v>227</v>
      </c>
      <c r="L125" s="8"/>
    </row>
    <row r="126" spans="1:12" s="12" customFormat="1" ht="28.5" x14ac:dyDescent="0.25">
      <c r="A126" s="55" t="s">
        <v>207</v>
      </c>
      <c r="B126" s="78">
        <v>7</v>
      </c>
      <c r="C126" s="78" t="s">
        <v>78</v>
      </c>
      <c r="D126" s="78">
        <v>0</v>
      </c>
      <c r="E126" s="78">
        <v>8</v>
      </c>
      <c r="F126" s="78" t="s">
        <v>78</v>
      </c>
      <c r="G126" s="78">
        <v>16</v>
      </c>
      <c r="H126" s="73">
        <f>B126*24*365*8/1000</f>
        <v>490.56</v>
      </c>
      <c r="I126" s="56">
        <v>2016</v>
      </c>
      <c r="J126" s="55" t="s">
        <v>209</v>
      </c>
      <c r="K126" s="83" t="s">
        <v>208</v>
      </c>
      <c r="L126" s="8"/>
    </row>
    <row r="127" spans="1:12" s="12" customFormat="1" ht="28.5" x14ac:dyDescent="0.25">
      <c r="A127" s="44" t="s">
        <v>474</v>
      </c>
      <c r="B127" s="77">
        <v>0.33</v>
      </c>
      <c r="C127" s="77" t="s">
        <v>78</v>
      </c>
      <c r="D127" s="77">
        <v>0</v>
      </c>
      <c r="E127" s="77">
        <v>8</v>
      </c>
      <c r="F127" s="77" t="s">
        <v>78</v>
      </c>
      <c r="G127" s="77">
        <v>16</v>
      </c>
      <c r="H127" s="74">
        <f>B127*24*365*8/1000</f>
        <v>23.1264</v>
      </c>
      <c r="I127" s="45">
        <v>2016</v>
      </c>
      <c r="J127" s="62" t="s">
        <v>209</v>
      </c>
      <c r="K127" s="84" t="s">
        <v>208</v>
      </c>
      <c r="L127" s="8"/>
    </row>
    <row r="128" spans="1:12" s="12" customFormat="1" ht="72.75" customHeight="1" x14ac:dyDescent="0.25">
      <c r="A128" s="55" t="s">
        <v>473</v>
      </c>
      <c r="B128" s="78">
        <v>275</v>
      </c>
      <c r="C128" s="78" t="s">
        <v>78</v>
      </c>
      <c r="D128" s="78" t="s">
        <v>78</v>
      </c>
      <c r="E128" s="78">
        <v>2</v>
      </c>
      <c r="F128" s="78" t="s">
        <v>78</v>
      </c>
      <c r="G128" s="78" t="s">
        <v>78</v>
      </c>
      <c r="H128" s="73">
        <v>201</v>
      </c>
      <c r="I128" s="56">
        <v>2014</v>
      </c>
      <c r="J128" s="55" t="s">
        <v>225</v>
      </c>
      <c r="K128" s="83" t="s">
        <v>224</v>
      </c>
      <c r="L128" s="8"/>
    </row>
    <row r="129" spans="1:12" s="12" customFormat="1" ht="28.5" x14ac:dyDescent="0.25">
      <c r="A129" s="44" t="s">
        <v>472</v>
      </c>
      <c r="B129" s="77">
        <f>15.8/24*1000</f>
        <v>658.33333333333337</v>
      </c>
      <c r="C129" s="77" t="s">
        <v>78</v>
      </c>
      <c r="D129" s="77" t="s">
        <v>78</v>
      </c>
      <c r="E129" s="77">
        <f>H129/B129</f>
        <v>5.8374683544303796</v>
      </c>
      <c r="F129" s="77" t="s">
        <v>78</v>
      </c>
      <c r="G129" s="77" t="s">
        <v>78</v>
      </c>
      <c r="H129" s="74">
        <v>3843</v>
      </c>
      <c r="I129" s="45">
        <v>2016</v>
      </c>
      <c r="J129" s="62" t="s">
        <v>423</v>
      </c>
      <c r="K129" s="84" t="s">
        <v>424</v>
      </c>
      <c r="L129" s="8"/>
    </row>
    <row r="130" spans="1:12" s="12" customFormat="1" ht="28.5" x14ac:dyDescent="0.25">
      <c r="A130" s="55" t="s">
        <v>471</v>
      </c>
      <c r="B130" s="78">
        <f>3.4/24*1000</f>
        <v>141.66666666666666</v>
      </c>
      <c r="C130" s="78">
        <f>2.8/24*1000</f>
        <v>116.66666666666666</v>
      </c>
      <c r="D130" s="78" t="s">
        <v>78</v>
      </c>
      <c r="E130" s="78">
        <v>2</v>
      </c>
      <c r="F130" s="78">
        <v>9.8000000000000007</v>
      </c>
      <c r="G130" s="78" t="s">
        <v>78</v>
      </c>
      <c r="H130" s="73">
        <v>1002</v>
      </c>
      <c r="I130" s="56">
        <v>2016</v>
      </c>
      <c r="J130" s="55" t="s">
        <v>423</v>
      </c>
      <c r="K130" s="83" t="s">
        <v>424</v>
      </c>
      <c r="L130" s="8"/>
    </row>
    <row r="131" spans="1:12" s="12" customFormat="1" ht="42.75" x14ac:dyDescent="0.25">
      <c r="A131" s="44" t="s">
        <v>152</v>
      </c>
      <c r="B131" s="77">
        <v>3.2</v>
      </c>
      <c r="C131" s="77">
        <v>1.8</v>
      </c>
      <c r="D131" s="77">
        <v>1</v>
      </c>
      <c r="E131" s="77">
        <f>58/365</f>
        <v>0.15890410958904111</v>
      </c>
      <c r="F131" s="77">
        <f>1402/365</f>
        <v>3.8410958904109589</v>
      </c>
      <c r="G131" s="77">
        <f>7300/365</f>
        <v>20</v>
      </c>
      <c r="H131" s="74">
        <f>(G131*D131+F131*C131+E131*B131)*365/1000</f>
        <v>10.009199999999998</v>
      </c>
      <c r="I131" s="45">
        <v>2014</v>
      </c>
      <c r="J131" s="44" t="s">
        <v>113</v>
      </c>
      <c r="K131" s="84" t="s">
        <v>261</v>
      </c>
      <c r="L131" s="8"/>
    </row>
    <row r="132" spans="1:12" s="12" customFormat="1" ht="28.5" x14ac:dyDescent="0.25">
      <c r="A132" s="55" t="s">
        <v>470</v>
      </c>
      <c r="B132" s="78">
        <v>3040</v>
      </c>
      <c r="C132" s="78">
        <v>225</v>
      </c>
      <c r="D132" s="78">
        <v>0</v>
      </c>
      <c r="E132" s="78">
        <v>7.0000000000000007E-2</v>
      </c>
      <c r="F132" s="78">
        <v>23.93</v>
      </c>
      <c r="G132" s="78">
        <v>0</v>
      </c>
      <c r="H132" s="73">
        <v>2040</v>
      </c>
      <c r="I132" s="56">
        <v>2017</v>
      </c>
      <c r="J132" s="55" t="s">
        <v>112</v>
      </c>
      <c r="K132" s="83" t="s">
        <v>106</v>
      </c>
      <c r="L132" s="8"/>
    </row>
    <row r="133" spans="1:12" s="12" customFormat="1" ht="30" customHeight="1" x14ac:dyDescent="0.25">
      <c r="A133" s="44" t="s">
        <v>545</v>
      </c>
      <c r="B133" s="77">
        <v>13</v>
      </c>
      <c r="C133" s="77" t="s">
        <v>78</v>
      </c>
      <c r="D133" s="77" t="s">
        <v>78</v>
      </c>
      <c r="E133" s="77">
        <v>0.1</v>
      </c>
      <c r="F133" s="77" t="s">
        <v>78</v>
      </c>
      <c r="G133" s="77">
        <v>23.9</v>
      </c>
      <c r="H133" s="74">
        <f>B133*E133*365/1000</f>
        <v>0.47449999999999998</v>
      </c>
      <c r="I133" s="45">
        <v>2016</v>
      </c>
      <c r="J133" s="44" t="s">
        <v>546</v>
      </c>
      <c r="K133" s="84" t="s">
        <v>255</v>
      </c>
      <c r="L133" s="8"/>
    </row>
    <row r="134" spans="1:12" s="12" customFormat="1" ht="42.75" x14ac:dyDescent="0.25">
      <c r="A134" s="55" t="s">
        <v>155</v>
      </c>
      <c r="B134" s="78">
        <v>182</v>
      </c>
      <c r="C134" s="78">
        <v>10</v>
      </c>
      <c r="D134" s="78">
        <v>4.5999999999999996</v>
      </c>
      <c r="E134" s="78">
        <f>694/365</f>
        <v>1.9013698630136986</v>
      </c>
      <c r="F134" s="78">
        <f>613/365</f>
        <v>1.6794520547945206</v>
      </c>
      <c r="G134" s="78">
        <f>7453/365</f>
        <v>20.419178082191781</v>
      </c>
      <c r="H134" s="73">
        <f>(G134*D134+F134*C134+E134*B134)*365/1000</f>
        <v>166.7218</v>
      </c>
      <c r="I134" s="56">
        <v>2014</v>
      </c>
      <c r="J134" s="55" t="s">
        <v>113</v>
      </c>
      <c r="K134" s="83" t="s">
        <v>261</v>
      </c>
      <c r="L134" s="8"/>
    </row>
    <row r="135" spans="1:12" s="12" customFormat="1" ht="28.5" x14ac:dyDescent="0.25">
      <c r="A135" s="44" t="s">
        <v>469</v>
      </c>
      <c r="B135" s="77">
        <v>8.1999999999999993</v>
      </c>
      <c r="C135" s="77" t="s">
        <v>78</v>
      </c>
      <c r="D135" s="77" t="s">
        <v>78</v>
      </c>
      <c r="E135" s="77">
        <v>24</v>
      </c>
      <c r="F135" s="77" t="s">
        <v>78</v>
      </c>
      <c r="G135" s="77" t="s">
        <v>78</v>
      </c>
      <c r="H135" s="74">
        <f>B135*E135*365/1000</f>
        <v>71.831999999999994</v>
      </c>
      <c r="I135" s="45">
        <v>2015</v>
      </c>
      <c r="J135" s="44" t="s">
        <v>540</v>
      </c>
      <c r="K135" s="84" t="s">
        <v>227</v>
      </c>
      <c r="L135" s="8"/>
    </row>
    <row r="136" spans="1:12" s="12" customFormat="1" ht="28.5" x14ac:dyDescent="0.25">
      <c r="A136" s="55" t="s">
        <v>229</v>
      </c>
      <c r="B136" s="78">
        <v>500</v>
      </c>
      <c r="C136" s="78" t="s">
        <v>78</v>
      </c>
      <c r="D136" s="78" t="s">
        <v>78</v>
      </c>
      <c r="E136" s="78">
        <v>24</v>
      </c>
      <c r="F136" s="78" t="s">
        <v>78</v>
      </c>
      <c r="G136" s="78" t="s">
        <v>78</v>
      </c>
      <c r="H136" s="73">
        <f>B136*E136*365/1000</f>
        <v>4380</v>
      </c>
      <c r="I136" s="56">
        <v>2015</v>
      </c>
      <c r="J136" s="55" t="s">
        <v>540</v>
      </c>
      <c r="K136" s="83" t="s">
        <v>227</v>
      </c>
      <c r="L136" s="8"/>
    </row>
    <row r="137" spans="1:12" s="12" customFormat="1" ht="44.25" customHeight="1" x14ac:dyDescent="0.25">
      <c r="A137" s="44" t="s">
        <v>94</v>
      </c>
      <c r="B137" s="77">
        <v>13.3</v>
      </c>
      <c r="C137" s="77" t="s">
        <v>78</v>
      </c>
      <c r="D137" s="77">
        <v>0.1</v>
      </c>
      <c r="E137" s="77">
        <v>0.1</v>
      </c>
      <c r="F137" s="77" t="s">
        <v>78</v>
      </c>
      <c r="G137" s="77">
        <v>23.9</v>
      </c>
      <c r="H137" s="74">
        <v>0.9</v>
      </c>
      <c r="I137" s="45">
        <v>2010</v>
      </c>
      <c r="J137" s="44" t="s">
        <v>95</v>
      </c>
      <c r="K137" s="84" t="s">
        <v>433</v>
      </c>
      <c r="L137" s="8"/>
    </row>
    <row r="138" spans="1:12" s="12" customFormat="1" ht="28.5" x14ac:dyDescent="0.25">
      <c r="A138" s="55" t="s">
        <v>30</v>
      </c>
      <c r="B138" s="78">
        <f>2.5/4</f>
        <v>0.625</v>
      </c>
      <c r="C138" s="78" t="s">
        <v>78</v>
      </c>
      <c r="D138" s="78" t="s">
        <v>78</v>
      </c>
      <c r="E138" s="78">
        <v>24</v>
      </c>
      <c r="F138" s="78" t="s">
        <v>78</v>
      </c>
      <c r="G138" s="78" t="s">
        <v>78</v>
      </c>
      <c r="H138" s="73">
        <f>B138*E138*365/1000</f>
        <v>5.4749999999999996</v>
      </c>
      <c r="I138" s="56">
        <v>2016</v>
      </c>
      <c r="J138" s="55" t="s">
        <v>253</v>
      </c>
      <c r="K138" s="83" t="s">
        <v>252</v>
      </c>
      <c r="L138" s="8"/>
    </row>
    <row r="139" spans="1:12" s="12" customFormat="1" ht="72" customHeight="1" x14ac:dyDescent="0.25">
      <c r="A139" s="44" t="s">
        <v>468</v>
      </c>
      <c r="B139" s="77">
        <v>818</v>
      </c>
      <c r="C139" s="77" t="s">
        <v>78</v>
      </c>
      <c r="D139" s="77" t="s">
        <v>78</v>
      </c>
      <c r="E139" s="77">
        <v>1</v>
      </c>
      <c r="F139" s="77" t="s">
        <v>78</v>
      </c>
      <c r="G139" s="77" t="s">
        <v>78</v>
      </c>
      <c r="H139" s="74">
        <f>B139*E139*365/1000</f>
        <v>298.57</v>
      </c>
      <c r="I139" s="45">
        <v>2014</v>
      </c>
      <c r="J139" s="44" t="s">
        <v>225</v>
      </c>
      <c r="K139" s="84" t="s">
        <v>224</v>
      </c>
      <c r="L139" s="8"/>
    </row>
    <row r="140" spans="1:12" s="12" customFormat="1" ht="72" customHeight="1" x14ac:dyDescent="0.25">
      <c r="A140" s="55" t="s">
        <v>467</v>
      </c>
      <c r="B140" s="78" t="s">
        <v>78</v>
      </c>
      <c r="C140" s="78" t="s">
        <v>78</v>
      </c>
      <c r="D140" s="78" t="s">
        <v>78</v>
      </c>
      <c r="E140" s="78" t="s">
        <v>78</v>
      </c>
      <c r="F140" s="78" t="s">
        <v>78</v>
      </c>
      <c r="G140" s="78" t="s">
        <v>78</v>
      </c>
      <c r="H140" s="73">
        <v>44</v>
      </c>
      <c r="I140" s="56">
        <v>2014</v>
      </c>
      <c r="J140" s="55" t="s">
        <v>225</v>
      </c>
      <c r="K140" s="83" t="s">
        <v>224</v>
      </c>
      <c r="L140" s="8"/>
    </row>
    <row r="141" spans="1:12" s="12" customFormat="1" ht="72.75" customHeight="1" x14ac:dyDescent="0.25">
      <c r="A141" s="44" t="s">
        <v>466</v>
      </c>
      <c r="B141" s="77">
        <v>297</v>
      </c>
      <c r="C141" s="77" t="s">
        <v>78</v>
      </c>
      <c r="D141" s="77" t="s">
        <v>78</v>
      </c>
      <c r="E141" s="77">
        <v>1</v>
      </c>
      <c r="F141" s="77" t="s">
        <v>78</v>
      </c>
      <c r="G141" s="77" t="s">
        <v>78</v>
      </c>
      <c r="H141" s="74">
        <f>B141*E141*365/1000</f>
        <v>108.405</v>
      </c>
      <c r="I141" s="45">
        <v>2014</v>
      </c>
      <c r="J141" s="44" t="s">
        <v>225</v>
      </c>
      <c r="K141" s="84" t="s">
        <v>224</v>
      </c>
      <c r="L141" s="8"/>
    </row>
    <row r="142" spans="1:12" s="12" customFormat="1" ht="28.5" x14ac:dyDescent="0.25">
      <c r="A142" s="55" t="s">
        <v>83</v>
      </c>
      <c r="B142" s="78" t="s">
        <v>78</v>
      </c>
      <c r="C142" s="78" t="s">
        <v>78</v>
      </c>
      <c r="D142" s="78" t="s">
        <v>78</v>
      </c>
      <c r="E142" s="78" t="s">
        <v>78</v>
      </c>
      <c r="F142" s="78" t="s">
        <v>78</v>
      </c>
      <c r="G142" s="78" t="s">
        <v>78</v>
      </c>
      <c r="H142" s="73">
        <v>1255</v>
      </c>
      <c r="I142" s="56">
        <v>2017</v>
      </c>
      <c r="J142" s="55" t="s">
        <v>104</v>
      </c>
      <c r="K142" s="83" t="s">
        <v>275</v>
      </c>
      <c r="L142" s="8"/>
    </row>
    <row r="143" spans="1:12" s="12" customFormat="1" ht="28.5" x14ac:dyDescent="0.25">
      <c r="A143" s="44" t="s">
        <v>84</v>
      </c>
      <c r="B143" s="77" t="s">
        <v>78</v>
      </c>
      <c r="C143" s="77" t="s">
        <v>78</v>
      </c>
      <c r="D143" s="77" t="s">
        <v>78</v>
      </c>
      <c r="E143" s="77" t="s">
        <v>78</v>
      </c>
      <c r="F143" s="77" t="s">
        <v>78</v>
      </c>
      <c r="G143" s="77" t="s">
        <v>78</v>
      </c>
      <c r="H143" s="74">
        <v>1906</v>
      </c>
      <c r="I143" s="45">
        <v>2017</v>
      </c>
      <c r="J143" s="44" t="s">
        <v>104</v>
      </c>
      <c r="K143" s="84" t="s">
        <v>276</v>
      </c>
      <c r="L143" s="8"/>
    </row>
    <row r="144" spans="1:12" s="12" customFormat="1" ht="74.25" customHeight="1" x14ac:dyDescent="0.25">
      <c r="A144" s="55" t="s">
        <v>107</v>
      </c>
      <c r="B144" s="78" t="s">
        <v>78</v>
      </c>
      <c r="C144" s="78" t="s">
        <v>78</v>
      </c>
      <c r="D144" s="78" t="s">
        <v>78</v>
      </c>
      <c r="E144" s="78" t="s">
        <v>78</v>
      </c>
      <c r="F144" s="78" t="s">
        <v>78</v>
      </c>
      <c r="G144" s="78" t="s">
        <v>78</v>
      </c>
      <c r="H144" s="73">
        <v>900</v>
      </c>
      <c r="I144" s="56">
        <v>2014</v>
      </c>
      <c r="J144" s="55" t="s">
        <v>225</v>
      </c>
      <c r="K144" s="83" t="s">
        <v>224</v>
      </c>
      <c r="L144" s="8"/>
    </row>
    <row r="145" spans="1:12" s="12" customFormat="1" x14ac:dyDescent="0.25">
      <c r="A145" s="40" t="s">
        <v>501</v>
      </c>
      <c r="B145" s="86"/>
      <c r="C145" s="86"/>
      <c r="D145" s="86"/>
      <c r="E145" s="86"/>
      <c r="F145" s="86"/>
      <c r="G145" s="86"/>
      <c r="H145" s="87"/>
      <c r="I145" s="66"/>
      <c r="J145" s="46"/>
      <c r="K145" s="54"/>
      <c r="L145" s="8"/>
    </row>
    <row r="146" spans="1:12" s="12" customFormat="1" x14ac:dyDescent="0.2">
      <c r="A146" s="44" t="s">
        <v>70</v>
      </c>
      <c r="B146" s="77">
        <v>90</v>
      </c>
      <c r="C146" s="77" t="s">
        <v>78</v>
      </c>
      <c r="D146" s="77" t="s">
        <v>78</v>
      </c>
      <c r="E146" s="77">
        <v>0.15220700152207001</v>
      </c>
      <c r="F146" s="77" t="s">
        <v>78</v>
      </c>
      <c r="G146" s="77">
        <v>23.847792998477932</v>
      </c>
      <c r="H146" s="74">
        <v>5</v>
      </c>
      <c r="I146" s="45" t="s">
        <v>78</v>
      </c>
      <c r="J146" s="44" t="s">
        <v>445</v>
      </c>
      <c r="K146" s="88" t="s">
        <v>90</v>
      </c>
      <c r="L146" s="8"/>
    </row>
    <row r="147" spans="1:12" s="12" customFormat="1" ht="72.75" customHeight="1" x14ac:dyDescent="0.25">
      <c r="A147" s="55" t="s">
        <v>478</v>
      </c>
      <c r="B147" s="78">
        <v>710</v>
      </c>
      <c r="C147" s="78">
        <v>49</v>
      </c>
      <c r="D147" s="78" t="s">
        <v>78</v>
      </c>
      <c r="E147" s="78">
        <f>0.2</f>
        <v>0.2</v>
      </c>
      <c r="F147" s="78">
        <f>24-E147</f>
        <v>23.8</v>
      </c>
      <c r="G147" s="78">
        <v>0</v>
      </c>
      <c r="H147" s="73">
        <f>(B147*E147*365/1000 ) +C147*F147*365/1000</f>
        <v>477.49299999999999</v>
      </c>
      <c r="I147" s="56">
        <v>2014</v>
      </c>
      <c r="J147" s="55" t="s">
        <v>225</v>
      </c>
      <c r="K147" s="83" t="s">
        <v>224</v>
      </c>
      <c r="L147" s="8"/>
    </row>
    <row r="148" spans="1:12" s="12" customFormat="1" ht="28.5" x14ac:dyDescent="0.25">
      <c r="A148" s="44" t="s">
        <v>7</v>
      </c>
      <c r="B148" s="77">
        <v>1.4</v>
      </c>
      <c r="C148" s="77" t="s">
        <v>78</v>
      </c>
      <c r="D148" s="77">
        <v>1.2</v>
      </c>
      <c r="E148" s="77">
        <v>4</v>
      </c>
      <c r="F148" s="77" t="s">
        <v>78</v>
      </c>
      <c r="G148" s="77">
        <v>20</v>
      </c>
      <c r="H148" s="74">
        <v>10.804</v>
      </c>
      <c r="I148" s="45">
        <v>2006</v>
      </c>
      <c r="J148" s="44" t="s">
        <v>100</v>
      </c>
      <c r="K148" s="62" t="s">
        <v>90</v>
      </c>
      <c r="L148" s="8"/>
    </row>
    <row r="149" spans="1:12" s="12" customFormat="1" ht="28.5" x14ac:dyDescent="0.25">
      <c r="A149" s="55" t="s">
        <v>8</v>
      </c>
      <c r="B149" s="78">
        <v>3.8</v>
      </c>
      <c r="C149" s="78" t="s">
        <v>78</v>
      </c>
      <c r="D149" s="78">
        <v>1.6</v>
      </c>
      <c r="E149" s="78">
        <v>0.2</v>
      </c>
      <c r="F149" s="78" t="s">
        <v>78</v>
      </c>
      <c r="G149" s="78">
        <v>23.8</v>
      </c>
      <c r="H149" s="73">
        <v>14.176600000000001</v>
      </c>
      <c r="I149" s="56">
        <v>2006</v>
      </c>
      <c r="J149" s="55" t="s">
        <v>100</v>
      </c>
      <c r="K149" s="55" t="s">
        <v>90</v>
      </c>
      <c r="L149" s="8"/>
    </row>
    <row r="150" spans="1:12" s="12" customFormat="1" x14ac:dyDescent="0.25">
      <c r="A150" s="40" t="s">
        <v>502</v>
      </c>
      <c r="B150" s="86"/>
      <c r="C150" s="86"/>
      <c r="D150" s="86"/>
      <c r="E150" s="86"/>
      <c r="F150" s="86"/>
      <c r="G150" s="86"/>
      <c r="H150" s="87"/>
      <c r="I150" s="66"/>
      <c r="J150" s="46"/>
      <c r="K150" s="54"/>
      <c r="L150" s="8"/>
    </row>
    <row r="151" spans="1:12" s="12" customFormat="1" ht="28.5" x14ac:dyDescent="0.25">
      <c r="A151" s="44" t="s">
        <v>195</v>
      </c>
      <c r="B151" s="77">
        <f t="shared" ref="B151:B182" si="0">H151/E151/365*1000</f>
        <v>51.484018264840181</v>
      </c>
      <c r="C151" s="77" t="s">
        <v>78</v>
      </c>
      <c r="D151" s="77" t="s">
        <v>78</v>
      </c>
      <c r="E151" s="77">
        <v>24</v>
      </c>
      <c r="F151" s="77" t="s">
        <v>78</v>
      </c>
      <c r="G151" s="77" t="s">
        <v>78</v>
      </c>
      <c r="H151" s="74">
        <v>451</v>
      </c>
      <c r="I151" s="45">
        <v>2014</v>
      </c>
      <c r="J151" s="62" t="s">
        <v>423</v>
      </c>
      <c r="K151" s="84" t="s">
        <v>424</v>
      </c>
      <c r="L151" s="8"/>
    </row>
    <row r="152" spans="1:12" s="12" customFormat="1" ht="28.5" x14ac:dyDescent="0.25">
      <c r="A152" s="55" t="s">
        <v>196</v>
      </c>
      <c r="B152" s="78">
        <f t="shared" si="0"/>
        <v>46.347031963470322</v>
      </c>
      <c r="C152" s="78" t="s">
        <v>78</v>
      </c>
      <c r="D152" s="78" t="s">
        <v>78</v>
      </c>
      <c r="E152" s="78">
        <v>24</v>
      </c>
      <c r="F152" s="78" t="s">
        <v>78</v>
      </c>
      <c r="G152" s="78" t="s">
        <v>78</v>
      </c>
      <c r="H152" s="73">
        <v>406</v>
      </c>
      <c r="I152" s="56">
        <v>2014</v>
      </c>
      <c r="J152" s="55" t="s">
        <v>423</v>
      </c>
      <c r="K152" s="83" t="s">
        <v>424</v>
      </c>
      <c r="L152" s="8"/>
    </row>
    <row r="153" spans="1:12" s="12" customFormat="1" ht="28.5" x14ac:dyDescent="0.25">
      <c r="A153" s="44" t="s">
        <v>197</v>
      </c>
      <c r="B153" s="77">
        <f t="shared" si="0"/>
        <v>70.205479452054803</v>
      </c>
      <c r="C153" s="77" t="s">
        <v>78</v>
      </c>
      <c r="D153" s="77" t="s">
        <v>78</v>
      </c>
      <c r="E153" s="77">
        <v>24</v>
      </c>
      <c r="F153" s="77" t="s">
        <v>78</v>
      </c>
      <c r="G153" s="77" t="s">
        <v>78</v>
      </c>
      <c r="H153" s="74">
        <v>615</v>
      </c>
      <c r="I153" s="45">
        <v>2014</v>
      </c>
      <c r="J153" s="62" t="s">
        <v>423</v>
      </c>
      <c r="K153" s="84" t="s">
        <v>424</v>
      </c>
      <c r="L153" s="8"/>
    </row>
    <row r="154" spans="1:12" s="12" customFormat="1" ht="28.5" x14ac:dyDescent="0.25">
      <c r="A154" s="55" t="s">
        <v>479</v>
      </c>
      <c r="B154" s="78">
        <f t="shared" si="0"/>
        <v>64.155251141552512</v>
      </c>
      <c r="C154" s="78" t="s">
        <v>78</v>
      </c>
      <c r="D154" s="78" t="s">
        <v>78</v>
      </c>
      <c r="E154" s="78">
        <v>24</v>
      </c>
      <c r="F154" s="78" t="s">
        <v>78</v>
      </c>
      <c r="G154" s="78" t="s">
        <v>78</v>
      </c>
      <c r="H154" s="73">
        <v>562</v>
      </c>
      <c r="I154" s="56">
        <v>2014</v>
      </c>
      <c r="J154" s="55" t="s">
        <v>423</v>
      </c>
      <c r="K154" s="83" t="s">
        <v>424</v>
      </c>
      <c r="L154" s="8"/>
    </row>
    <row r="155" spans="1:12" s="12" customFormat="1" ht="28.5" x14ac:dyDescent="0.25">
      <c r="A155" s="44" t="s">
        <v>13</v>
      </c>
      <c r="B155" s="77">
        <f t="shared" si="0"/>
        <v>44.178082191780824</v>
      </c>
      <c r="C155" s="77" t="s">
        <v>78</v>
      </c>
      <c r="D155" s="77" t="s">
        <v>78</v>
      </c>
      <c r="E155" s="77">
        <v>24</v>
      </c>
      <c r="F155" s="77" t="s">
        <v>78</v>
      </c>
      <c r="G155" s="77" t="s">
        <v>78</v>
      </c>
      <c r="H155" s="74">
        <v>387</v>
      </c>
      <c r="I155" s="45">
        <v>2014</v>
      </c>
      <c r="J155" s="62" t="s">
        <v>423</v>
      </c>
      <c r="K155" s="84" t="s">
        <v>424</v>
      </c>
      <c r="L155" s="8"/>
    </row>
    <row r="156" spans="1:12" s="12" customFormat="1" ht="28.5" x14ac:dyDescent="0.25">
      <c r="A156" s="55" t="s">
        <v>65</v>
      </c>
      <c r="B156" s="78">
        <f t="shared" si="0"/>
        <v>39.840182648401829</v>
      </c>
      <c r="C156" s="78" t="s">
        <v>78</v>
      </c>
      <c r="D156" s="78" t="s">
        <v>78</v>
      </c>
      <c r="E156" s="78">
        <v>24</v>
      </c>
      <c r="F156" s="78" t="s">
        <v>78</v>
      </c>
      <c r="G156" s="78" t="s">
        <v>78</v>
      </c>
      <c r="H156" s="73">
        <v>349</v>
      </c>
      <c r="I156" s="56">
        <v>2014</v>
      </c>
      <c r="J156" s="55" t="s">
        <v>423</v>
      </c>
      <c r="K156" s="83" t="s">
        <v>424</v>
      </c>
      <c r="L156" s="8"/>
    </row>
    <row r="157" spans="1:12" s="12" customFormat="1" ht="28.5" x14ac:dyDescent="0.25">
      <c r="A157" s="44" t="s">
        <v>10</v>
      </c>
      <c r="B157" s="77">
        <f t="shared" si="0"/>
        <v>32.990867579908674</v>
      </c>
      <c r="C157" s="77" t="s">
        <v>78</v>
      </c>
      <c r="D157" s="77" t="s">
        <v>78</v>
      </c>
      <c r="E157" s="77">
        <v>24</v>
      </c>
      <c r="F157" s="77" t="s">
        <v>78</v>
      </c>
      <c r="G157" s="77" t="s">
        <v>78</v>
      </c>
      <c r="H157" s="74">
        <v>289</v>
      </c>
      <c r="I157" s="45">
        <v>2014</v>
      </c>
      <c r="J157" s="62" t="s">
        <v>423</v>
      </c>
      <c r="K157" s="84" t="s">
        <v>424</v>
      </c>
      <c r="L157" s="7"/>
    </row>
    <row r="158" spans="1:12" s="15" customFormat="1" ht="28.5" x14ac:dyDescent="0.25">
      <c r="A158" s="55" t="s">
        <v>66</v>
      </c>
      <c r="B158" s="78">
        <f t="shared" si="0"/>
        <v>29.680365296803654</v>
      </c>
      <c r="C158" s="78" t="s">
        <v>78</v>
      </c>
      <c r="D158" s="78" t="s">
        <v>78</v>
      </c>
      <c r="E158" s="78">
        <v>24</v>
      </c>
      <c r="F158" s="78" t="s">
        <v>78</v>
      </c>
      <c r="G158" s="78" t="s">
        <v>78</v>
      </c>
      <c r="H158" s="73">
        <v>260</v>
      </c>
      <c r="I158" s="56">
        <v>2014</v>
      </c>
      <c r="J158" s="55" t="s">
        <v>423</v>
      </c>
      <c r="K158" s="83" t="s">
        <v>424</v>
      </c>
      <c r="L158" s="8"/>
    </row>
    <row r="159" spans="1:12" s="12" customFormat="1" ht="28.5" x14ac:dyDescent="0.25">
      <c r="A159" s="44" t="s">
        <v>11</v>
      </c>
      <c r="B159" s="77">
        <f t="shared" si="0"/>
        <v>41.095890410958901</v>
      </c>
      <c r="C159" s="77" t="s">
        <v>78</v>
      </c>
      <c r="D159" s="77" t="s">
        <v>78</v>
      </c>
      <c r="E159" s="77">
        <v>24</v>
      </c>
      <c r="F159" s="77" t="s">
        <v>78</v>
      </c>
      <c r="G159" s="77" t="s">
        <v>78</v>
      </c>
      <c r="H159" s="74">
        <v>360</v>
      </c>
      <c r="I159" s="45">
        <v>2014</v>
      </c>
      <c r="J159" s="62" t="s">
        <v>423</v>
      </c>
      <c r="K159" s="84" t="s">
        <v>424</v>
      </c>
      <c r="L159" s="8"/>
    </row>
    <row r="160" spans="1:12" s="12" customFormat="1" ht="28.5" x14ac:dyDescent="0.25">
      <c r="A160" s="55" t="s">
        <v>67</v>
      </c>
      <c r="B160" s="78">
        <f t="shared" si="0"/>
        <v>36.986301369863014</v>
      </c>
      <c r="C160" s="78" t="s">
        <v>78</v>
      </c>
      <c r="D160" s="78" t="s">
        <v>78</v>
      </c>
      <c r="E160" s="78">
        <v>24</v>
      </c>
      <c r="F160" s="78" t="s">
        <v>78</v>
      </c>
      <c r="G160" s="78" t="s">
        <v>78</v>
      </c>
      <c r="H160" s="73">
        <v>324</v>
      </c>
      <c r="I160" s="56">
        <v>2014</v>
      </c>
      <c r="J160" s="55" t="s">
        <v>423</v>
      </c>
      <c r="K160" s="83" t="s">
        <v>424</v>
      </c>
      <c r="L160" s="8"/>
    </row>
    <row r="161" spans="1:256" s="12" customFormat="1" ht="28.5" x14ac:dyDescent="0.25">
      <c r="A161" s="44" t="s">
        <v>12</v>
      </c>
      <c r="B161" s="77">
        <f t="shared" si="0"/>
        <v>44.178082191780824</v>
      </c>
      <c r="C161" s="77" t="s">
        <v>78</v>
      </c>
      <c r="D161" s="77" t="s">
        <v>78</v>
      </c>
      <c r="E161" s="77">
        <v>24</v>
      </c>
      <c r="F161" s="77" t="s">
        <v>78</v>
      </c>
      <c r="G161" s="77" t="s">
        <v>78</v>
      </c>
      <c r="H161" s="74">
        <v>387</v>
      </c>
      <c r="I161" s="45">
        <v>2014</v>
      </c>
      <c r="J161" s="62" t="s">
        <v>423</v>
      </c>
      <c r="K161" s="84" t="s">
        <v>424</v>
      </c>
      <c r="L161" s="8"/>
    </row>
    <row r="162" spans="1:256" s="12" customFormat="1" ht="28.5" x14ac:dyDescent="0.25">
      <c r="A162" s="55" t="s">
        <v>68</v>
      </c>
      <c r="B162" s="78">
        <f t="shared" si="0"/>
        <v>39.840182648401829</v>
      </c>
      <c r="C162" s="78" t="s">
        <v>78</v>
      </c>
      <c r="D162" s="78" t="s">
        <v>78</v>
      </c>
      <c r="E162" s="78">
        <v>24</v>
      </c>
      <c r="F162" s="78" t="s">
        <v>78</v>
      </c>
      <c r="G162" s="78" t="s">
        <v>78</v>
      </c>
      <c r="H162" s="73">
        <v>349</v>
      </c>
      <c r="I162" s="56">
        <v>2014</v>
      </c>
      <c r="J162" s="55" t="s">
        <v>423</v>
      </c>
      <c r="K162" s="83" t="s">
        <v>424</v>
      </c>
      <c r="L162" s="8"/>
    </row>
    <row r="163" spans="1:256" s="12" customFormat="1" ht="28.5" x14ac:dyDescent="0.25">
      <c r="A163" s="44" t="s">
        <v>480</v>
      </c>
      <c r="B163" s="77">
        <f t="shared" si="0"/>
        <v>34.474885844748854</v>
      </c>
      <c r="C163" s="77" t="s">
        <v>78</v>
      </c>
      <c r="D163" s="77" t="s">
        <v>78</v>
      </c>
      <c r="E163" s="77">
        <v>24</v>
      </c>
      <c r="F163" s="77" t="s">
        <v>78</v>
      </c>
      <c r="G163" s="77" t="s">
        <v>78</v>
      </c>
      <c r="H163" s="74">
        <v>302</v>
      </c>
      <c r="I163" s="45">
        <v>2014</v>
      </c>
      <c r="J163" s="62" t="s">
        <v>423</v>
      </c>
      <c r="K163" s="84" t="s">
        <v>424</v>
      </c>
      <c r="L163" s="8"/>
    </row>
    <row r="164" spans="1:256" s="12" customFormat="1" ht="28.5" x14ac:dyDescent="0.25">
      <c r="A164" s="55" t="s">
        <v>481</v>
      </c>
      <c r="B164" s="78">
        <f t="shared" si="0"/>
        <v>31.050228310502288</v>
      </c>
      <c r="C164" s="78" t="s">
        <v>78</v>
      </c>
      <c r="D164" s="78" t="s">
        <v>78</v>
      </c>
      <c r="E164" s="78">
        <v>24</v>
      </c>
      <c r="F164" s="78" t="s">
        <v>78</v>
      </c>
      <c r="G164" s="78" t="s">
        <v>78</v>
      </c>
      <c r="H164" s="73">
        <v>272</v>
      </c>
      <c r="I164" s="56">
        <v>2014</v>
      </c>
      <c r="J164" s="55" t="s">
        <v>423</v>
      </c>
      <c r="K164" s="83" t="s">
        <v>424</v>
      </c>
      <c r="L164" s="19"/>
    </row>
    <row r="165" spans="1:256" s="12" customFormat="1" ht="28.5" x14ac:dyDescent="0.25">
      <c r="A165" s="44" t="s">
        <v>482</v>
      </c>
      <c r="B165" s="77">
        <f t="shared" si="0"/>
        <v>43.721461187214615</v>
      </c>
      <c r="C165" s="77" t="s">
        <v>78</v>
      </c>
      <c r="D165" s="77" t="s">
        <v>78</v>
      </c>
      <c r="E165" s="77">
        <v>24</v>
      </c>
      <c r="F165" s="77" t="s">
        <v>78</v>
      </c>
      <c r="G165" s="77" t="s">
        <v>78</v>
      </c>
      <c r="H165" s="74">
        <v>383</v>
      </c>
      <c r="I165" s="45">
        <v>2014</v>
      </c>
      <c r="J165" s="62" t="s">
        <v>423</v>
      </c>
      <c r="K165" s="84" t="s">
        <v>424</v>
      </c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  <c r="IJ165" s="19"/>
      <c r="IK165" s="19"/>
      <c r="IL165" s="19"/>
      <c r="IM165" s="19"/>
      <c r="IN165" s="19"/>
      <c r="IO165" s="19"/>
      <c r="IP165" s="19"/>
      <c r="IQ165" s="19"/>
      <c r="IR165" s="19"/>
      <c r="IS165" s="19"/>
      <c r="IT165" s="19"/>
      <c r="IU165" s="19"/>
      <c r="IV165" s="19"/>
    </row>
    <row r="166" spans="1:256" s="12" customFormat="1" ht="28.5" x14ac:dyDescent="0.25">
      <c r="A166" s="55" t="s">
        <v>483</v>
      </c>
      <c r="B166" s="78">
        <f t="shared" si="0"/>
        <v>71.118721461187207</v>
      </c>
      <c r="C166" s="78" t="s">
        <v>78</v>
      </c>
      <c r="D166" s="78" t="s">
        <v>78</v>
      </c>
      <c r="E166" s="78">
        <v>24</v>
      </c>
      <c r="F166" s="78" t="s">
        <v>78</v>
      </c>
      <c r="G166" s="78" t="s">
        <v>78</v>
      </c>
      <c r="H166" s="73">
        <v>623</v>
      </c>
      <c r="I166" s="56">
        <v>2014</v>
      </c>
      <c r="J166" s="55" t="s">
        <v>423</v>
      </c>
      <c r="K166" s="83" t="s">
        <v>424</v>
      </c>
      <c r="L166" s="23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</row>
    <row r="167" spans="1:256" s="12" customFormat="1" ht="28.5" x14ac:dyDescent="0.25">
      <c r="A167" s="44" t="s">
        <v>484</v>
      </c>
      <c r="B167" s="77">
        <f t="shared" si="0"/>
        <v>39.383561643835613</v>
      </c>
      <c r="C167" s="77" t="s">
        <v>78</v>
      </c>
      <c r="D167" s="77" t="s">
        <v>78</v>
      </c>
      <c r="E167" s="77">
        <v>24</v>
      </c>
      <c r="F167" s="77" t="s">
        <v>78</v>
      </c>
      <c r="G167" s="77" t="s">
        <v>78</v>
      </c>
      <c r="H167" s="74">
        <v>345</v>
      </c>
      <c r="I167" s="45">
        <v>2014</v>
      </c>
      <c r="J167" s="62" t="s">
        <v>423</v>
      </c>
      <c r="K167" s="84" t="s">
        <v>424</v>
      </c>
      <c r="L167" s="1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  <c r="IU167" s="23"/>
      <c r="IV167" s="23"/>
    </row>
    <row r="168" spans="1:256" s="12" customFormat="1" ht="28.5" x14ac:dyDescent="0.25">
      <c r="A168" s="55" t="s">
        <v>485</v>
      </c>
      <c r="B168" s="78">
        <f t="shared" si="0"/>
        <v>63.926940639269404</v>
      </c>
      <c r="C168" s="78" t="s">
        <v>78</v>
      </c>
      <c r="D168" s="78" t="s">
        <v>78</v>
      </c>
      <c r="E168" s="78">
        <v>24</v>
      </c>
      <c r="F168" s="78" t="s">
        <v>78</v>
      </c>
      <c r="G168" s="78" t="s">
        <v>78</v>
      </c>
      <c r="H168" s="73">
        <v>560</v>
      </c>
      <c r="I168" s="56">
        <v>2014</v>
      </c>
      <c r="J168" s="55" t="s">
        <v>423</v>
      </c>
      <c r="K168" s="83" t="s">
        <v>424</v>
      </c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 s="25"/>
      <c r="IN168" s="25"/>
      <c r="IO168" s="25"/>
      <c r="IP168" s="25"/>
      <c r="IQ168" s="25"/>
      <c r="IR168" s="25"/>
      <c r="IS168" s="25"/>
      <c r="IT168" s="25"/>
      <c r="IU168" s="25"/>
      <c r="IV168" s="25"/>
    </row>
    <row r="169" spans="1:256" s="12" customFormat="1" ht="28.5" x14ac:dyDescent="0.25">
      <c r="A169" s="44" t="s">
        <v>486</v>
      </c>
      <c r="B169" s="77">
        <f t="shared" si="0"/>
        <v>52.054794520547944</v>
      </c>
      <c r="C169" s="77" t="s">
        <v>78</v>
      </c>
      <c r="D169" s="77" t="s">
        <v>78</v>
      </c>
      <c r="E169" s="77">
        <v>24</v>
      </c>
      <c r="F169" s="77" t="s">
        <v>78</v>
      </c>
      <c r="G169" s="77" t="s">
        <v>78</v>
      </c>
      <c r="H169" s="74">
        <v>456</v>
      </c>
      <c r="I169" s="45">
        <v>2014</v>
      </c>
      <c r="J169" s="62" t="s">
        <v>423</v>
      </c>
      <c r="K169" s="84" t="s">
        <v>424</v>
      </c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</row>
    <row r="170" spans="1:256" s="12" customFormat="1" ht="28.5" x14ac:dyDescent="0.25">
      <c r="A170" s="55" t="s">
        <v>487</v>
      </c>
      <c r="B170" s="78">
        <f t="shared" si="0"/>
        <v>46.917808219178085</v>
      </c>
      <c r="C170" s="78" t="s">
        <v>78</v>
      </c>
      <c r="D170" s="78" t="s">
        <v>78</v>
      </c>
      <c r="E170" s="78">
        <v>24</v>
      </c>
      <c r="F170" s="78" t="s">
        <v>78</v>
      </c>
      <c r="G170" s="78" t="s">
        <v>78</v>
      </c>
      <c r="H170" s="73">
        <v>411</v>
      </c>
      <c r="I170" s="56">
        <v>2014</v>
      </c>
      <c r="J170" s="55" t="s">
        <v>423</v>
      </c>
      <c r="K170" s="83" t="s">
        <v>424</v>
      </c>
      <c r="L170" s="23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</row>
    <row r="171" spans="1:256" s="12" customFormat="1" ht="28.5" x14ac:dyDescent="0.25">
      <c r="A171" s="44" t="s">
        <v>488</v>
      </c>
      <c r="B171" s="77">
        <f t="shared" si="0"/>
        <v>52.283105022831045</v>
      </c>
      <c r="C171" s="77" t="s">
        <v>78</v>
      </c>
      <c r="D171" s="77" t="s">
        <v>78</v>
      </c>
      <c r="E171" s="77">
        <v>24</v>
      </c>
      <c r="F171" s="77" t="s">
        <v>78</v>
      </c>
      <c r="G171" s="77" t="s">
        <v>78</v>
      </c>
      <c r="H171" s="74">
        <v>458</v>
      </c>
      <c r="I171" s="45">
        <v>2014</v>
      </c>
      <c r="J171" s="62" t="s">
        <v>423</v>
      </c>
      <c r="K171" s="84" t="s">
        <v>424</v>
      </c>
      <c r="L171" s="25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  <c r="IU171" s="23"/>
      <c r="IV171" s="23"/>
    </row>
    <row r="172" spans="1:256" s="12" customFormat="1" ht="28.5" x14ac:dyDescent="0.25">
      <c r="A172" s="55" t="s">
        <v>489</v>
      </c>
      <c r="B172" s="78">
        <f t="shared" si="0"/>
        <v>47.031963470319639</v>
      </c>
      <c r="C172" s="78" t="s">
        <v>78</v>
      </c>
      <c r="D172" s="78" t="s">
        <v>78</v>
      </c>
      <c r="E172" s="78">
        <v>24</v>
      </c>
      <c r="F172" s="78" t="s">
        <v>78</v>
      </c>
      <c r="G172" s="78" t="s">
        <v>78</v>
      </c>
      <c r="H172" s="73">
        <v>412</v>
      </c>
      <c r="I172" s="56">
        <v>2014</v>
      </c>
      <c r="J172" s="55" t="s">
        <v>423</v>
      </c>
      <c r="K172" s="83" t="s">
        <v>424</v>
      </c>
      <c r="L172" s="23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 s="25"/>
      <c r="IN172" s="25"/>
      <c r="IO172" s="25"/>
      <c r="IP172" s="25"/>
      <c r="IQ172" s="25"/>
      <c r="IR172" s="25"/>
      <c r="IS172" s="25"/>
      <c r="IT172" s="25"/>
      <c r="IU172" s="25"/>
      <c r="IV172" s="25"/>
    </row>
    <row r="173" spans="1:256" s="12" customFormat="1" ht="28.5" x14ac:dyDescent="0.25">
      <c r="A173" s="44" t="s">
        <v>490</v>
      </c>
      <c r="B173" s="77">
        <f t="shared" si="0"/>
        <v>39.041095890410958</v>
      </c>
      <c r="C173" s="77" t="s">
        <v>78</v>
      </c>
      <c r="D173" s="77" t="s">
        <v>78</v>
      </c>
      <c r="E173" s="77">
        <v>24</v>
      </c>
      <c r="F173" s="77" t="s">
        <v>78</v>
      </c>
      <c r="G173" s="77" t="s">
        <v>78</v>
      </c>
      <c r="H173" s="74">
        <v>342</v>
      </c>
      <c r="I173" s="45">
        <v>2014</v>
      </c>
      <c r="J173" s="62" t="s">
        <v>423</v>
      </c>
      <c r="K173" s="84" t="s">
        <v>424</v>
      </c>
      <c r="L173" s="8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  <c r="HQ173" s="23"/>
      <c r="HR173" s="23"/>
      <c r="HS173" s="23"/>
      <c r="HT173" s="23"/>
      <c r="HU173" s="23"/>
      <c r="HV173" s="23"/>
      <c r="HW173" s="23"/>
      <c r="HX173" s="23"/>
      <c r="HY173" s="23"/>
      <c r="HZ173" s="23"/>
      <c r="IA173" s="23"/>
      <c r="IB173" s="23"/>
      <c r="IC173" s="23"/>
      <c r="ID173" s="23"/>
      <c r="IE173" s="23"/>
      <c r="IF173" s="23"/>
      <c r="IG173" s="23"/>
      <c r="IH173" s="23"/>
      <c r="II173" s="23"/>
      <c r="IJ173" s="23"/>
      <c r="IK173" s="23"/>
      <c r="IL173" s="23"/>
      <c r="IM173" s="23"/>
      <c r="IN173" s="23"/>
      <c r="IO173" s="23"/>
      <c r="IP173" s="23"/>
      <c r="IQ173" s="23"/>
      <c r="IR173" s="23"/>
      <c r="IS173" s="23"/>
      <c r="IT173" s="23"/>
      <c r="IU173" s="23"/>
      <c r="IV173" s="23"/>
    </row>
    <row r="174" spans="1:256" s="12" customFormat="1" ht="28.5" x14ac:dyDescent="0.25">
      <c r="A174" s="55" t="s">
        <v>491</v>
      </c>
      <c r="B174" s="78">
        <f t="shared" si="0"/>
        <v>35.159817351598178</v>
      </c>
      <c r="C174" s="78" t="s">
        <v>78</v>
      </c>
      <c r="D174" s="78" t="s">
        <v>78</v>
      </c>
      <c r="E174" s="78">
        <v>24</v>
      </c>
      <c r="F174" s="78" t="s">
        <v>78</v>
      </c>
      <c r="G174" s="78" t="s">
        <v>78</v>
      </c>
      <c r="H174" s="73">
        <v>308</v>
      </c>
      <c r="I174" s="56">
        <v>2014</v>
      </c>
      <c r="J174" s="55" t="s">
        <v>423</v>
      </c>
      <c r="K174" s="83" t="s">
        <v>424</v>
      </c>
      <c r="L174" s="8"/>
    </row>
    <row r="175" spans="1:256" s="12" customFormat="1" ht="28.5" x14ac:dyDescent="0.25">
      <c r="A175" s="44" t="s">
        <v>193</v>
      </c>
      <c r="B175" s="77">
        <f t="shared" si="0"/>
        <v>39.497716894977167</v>
      </c>
      <c r="C175" s="77" t="s">
        <v>78</v>
      </c>
      <c r="D175" s="77" t="s">
        <v>78</v>
      </c>
      <c r="E175" s="77">
        <v>24</v>
      </c>
      <c r="F175" s="77" t="s">
        <v>78</v>
      </c>
      <c r="G175" s="77" t="s">
        <v>78</v>
      </c>
      <c r="H175" s="74">
        <v>346</v>
      </c>
      <c r="I175" s="45">
        <v>2014</v>
      </c>
      <c r="J175" s="62" t="s">
        <v>423</v>
      </c>
      <c r="K175" s="84" t="s">
        <v>424</v>
      </c>
      <c r="L175" s="7"/>
    </row>
    <row r="176" spans="1:256" s="15" customFormat="1" ht="28.5" x14ac:dyDescent="0.25">
      <c r="A176" s="55" t="s">
        <v>192</v>
      </c>
      <c r="B176" s="78">
        <f t="shared" si="0"/>
        <v>35.502283105022833</v>
      </c>
      <c r="C176" s="78" t="s">
        <v>78</v>
      </c>
      <c r="D176" s="78" t="s">
        <v>78</v>
      </c>
      <c r="E176" s="78">
        <v>24</v>
      </c>
      <c r="F176" s="78" t="s">
        <v>78</v>
      </c>
      <c r="G176" s="78" t="s">
        <v>78</v>
      </c>
      <c r="H176" s="73">
        <v>311</v>
      </c>
      <c r="I176" s="56">
        <v>2014</v>
      </c>
      <c r="J176" s="55" t="s">
        <v>423</v>
      </c>
      <c r="K176" s="83" t="s">
        <v>424</v>
      </c>
      <c r="L176" s="8"/>
    </row>
    <row r="177" spans="1:16" s="12" customFormat="1" ht="28.5" x14ac:dyDescent="0.25">
      <c r="A177" s="44" t="s">
        <v>191</v>
      </c>
      <c r="B177" s="77">
        <f t="shared" si="0"/>
        <v>40.639269406392692</v>
      </c>
      <c r="C177" s="77" t="s">
        <v>78</v>
      </c>
      <c r="D177" s="77" t="s">
        <v>78</v>
      </c>
      <c r="E177" s="77">
        <v>24</v>
      </c>
      <c r="F177" s="77" t="s">
        <v>78</v>
      </c>
      <c r="G177" s="77" t="s">
        <v>78</v>
      </c>
      <c r="H177" s="74">
        <v>356</v>
      </c>
      <c r="I177" s="45">
        <v>2014</v>
      </c>
      <c r="J177" s="62" t="s">
        <v>423</v>
      </c>
      <c r="K177" s="84" t="s">
        <v>424</v>
      </c>
      <c r="L177" s="8"/>
    </row>
    <row r="178" spans="1:16" s="12" customFormat="1" ht="28.5" x14ac:dyDescent="0.25">
      <c r="A178" s="55" t="s">
        <v>194</v>
      </c>
      <c r="B178" s="78">
        <f t="shared" si="0"/>
        <v>36.529680365296805</v>
      </c>
      <c r="C178" s="78" t="s">
        <v>78</v>
      </c>
      <c r="D178" s="78" t="s">
        <v>78</v>
      </c>
      <c r="E178" s="78">
        <v>24</v>
      </c>
      <c r="F178" s="78" t="s">
        <v>78</v>
      </c>
      <c r="G178" s="78" t="s">
        <v>78</v>
      </c>
      <c r="H178" s="73">
        <v>320</v>
      </c>
      <c r="I178" s="56">
        <v>2014</v>
      </c>
      <c r="J178" s="55" t="s">
        <v>423</v>
      </c>
      <c r="K178" s="83" t="s">
        <v>424</v>
      </c>
      <c r="L178" s="8"/>
    </row>
    <row r="179" spans="1:16" s="12" customFormat="1" ht="28.5" x14ac:dyDescent="0.25">
      <c r="A179" s="44" t="s">
        <v>492</v>
      </c>
      <c r="B179" s="77">
        <f t="shared" si="0"/>
        <v>48.630136986301373</v>
      </c>
      <c r="C179" s="77" t="s">
        <v>78</v>
      </c>
      <c r="D179" s="77" t="s">
        <v>78</v>
      </c>
      <c r="E179" s="77">
        <v>24</v>
      </c>
      <c r="F179" s="77" t="s">
        <v>78</v>
      </c>
      <c r="G179" s="77" t="s">
        <v>78</v>
      </c>
      <c r="H179" s="74">
        <v>426</v>
      </c>
      <c r="I179" s="45">
        <v>2014</v>
      </c>
      <c r="J179" s="62" t="s">
        <v>423</v>
      </c>
      <c r="K179" s="84" t="s">
        <v>424</v>
      </c>
      <c r="L179" s="8"/>
    </row>
    <row r="180" spans="1:16" s="12" customFormat="1" ht="28.5" x14ac:dyDescent="0.25">
      <c r="A180" s="55" t="s">
        <v>493</v>
      </c>
      <c r="B180" s="78">
        <f t="shared" si="0"/>
        <v>64.155251141552512</v>
      </c>
      <c r="C180" s="78" t="s">
        <v>78</v>
      </c>
      <c r="D180" s="78" t="s">
        <v>78</v>
      </c>
      <c r="E180" s="78">
        <v>24</v>
      </c>
      <c r="F180" s="78" t="s">
        <v>78</v>
      </c>
      <c r="G180" s="78" t="s">
        <v>78</v>
      </c>
      <c r="H180" s="73">
        <v>562</v>
      </c>
      <c r="I180" s="56">
        <v>2014</v>
      </c>
      <c r="J180" s="55" t="s">
        <v>423</v>
      </c>
      <c r="K180" s="83" t="s">
        <v>424</v>
      </c>
      <c r="L180" s="8"/>
    </row>
    <row r="181" spans="1:16" s="12" customFormat="1" ht="42.75" x14ac:dyDescent="0.25">
      <c r="A181" s="44" t="s">
        <v>496</v>
      </c>
      <c r="B181" s="77">
        <f t="shared" si="0"/>
        <v>58.447488584474883</v>
      </c>
      <c r="C181" s="77" t="s">
        <v>78</v>
      </c>
      <c r="D181" s="77" t="s">
        <v>78</v>
      </c>
      <c r="E181" s="77">
        <v>24</v>
      </c>
      <c r="F181" s="77" t="s">
        <v>78</v>
      </c>
      <c r="G181" s="77" t="s">
        <v>78</v>
      </c>
      <c r="H181" s="74">
        <v>512</v>
      </c>
      <c r="I181" s="45">
        <v>2014</v>
      </c>
      <c r="J181" s="62" t="s">
        <v>423</v>
      </c>
      <c r="K181" s="84" t="s">
        <v>424</v>
      </c>
      <c r="L181" s="8"/>
    </row>
    <row r="182" spans="1:16" s="12" customFormat="1" ht="28.5" x14ac:dyDescent="0.25">
      <c r="A182" s="55" t="s">
        <v>494</v>
      </c>
      <c r="B182" s="78">
        <f t="shared" si="0"/>
        <v>43.835616438356162</v>
      </c>
      <c r="C182" s="78" t="s">
        <v>78</v>
      </c>
      <c r="D182" s="78" t="s">
        <v>78</v>
      </c>
      <c r="E182" s="78">
        <v>24</v>
      </c>
      <c r="F182" s="78" t="s">
        <v>78</v>
      </c>
      <c r="G182" s="78" t="s">
        <v>78</v>
      </c>
      <c r="H182" s="73">
        <v>384</v>
      </c>
      <c r="I182" s="56">
        <v>2014</v>
      </c>
      <c r="J182" s="55" t="s">
        <v>423</v>
      </c>
      <c r="K182" s="83" t="s">
        <v>424</v>
      </c>
      <c r="L182" s="7"/>
    </row>
    <row r="183" spans="1:16" s="14" customFormat="1" x14ac:dyDescent="0.25">
      <c r="A183" s="40" t="s">
        <v>495</v>
      </c>
      <c r="B183" s="86"/>
      <c r="C183" s="86"/>
      <c r="D183" s="86"/>
      <c r="E183" s="86"/>
      <c r="F183" s="86"/>
      <c r="G183" s="86"/>
      <c r="H183" s="87"/>
      <c r="I183" s="66"/>
      <c r="J183" s="46"/>
      <c r="K183" s="54"/>
      <c r="L183" s="12"/>
    </row>
    <row r="184" spans="1:16" s="12" customFormat="1" ht="28.5" x14ac:dyDescent="0.25">
      <c r="A184" s="44" t="s">
        <v>551</v>
      </c>
      <c r="B184" s="77">
        <v>3</v>
      </c>
      <c r="C184" s="77">
        <v>2.8</v>
      </c>
      <c r="D184" s="77" t="s">
        <v>78</v>
      </c>
      <c r="E184" s="77" t="s">
        <v>78</v>
      </c>
      <c r="F184" s="77" t="s">
        <v>78</v>
      </c>
      <c r="G184" s="77" t="s">
        <v>78</v>
      </c>
      <c r="H184" s="74">
        <v>26</v>
      </c>
      <c r="I184" s="45">
        <v>2017</v>
      </c>
      <c r="J184" s="62" t="s">
        <v>497</v>
      </c>
      <c r="K184" s="84" t="s">
        <v>211</v>
      </c>
      <c r="L184" s="8"/>
    </row>
    <row r="185" spans="1:16" s="12" customFormat="1" ht="28.5" x14ac:dyDescent="0.25">
      <c r="A185" s="55" t="s">
        <v>552</v>
      </c>
      <c r="B185" s="78">
        <v>4</v>
      </c>
      <c r="C185" s="78">
        <v>3</v>
      </c>
      <c r="D185" s="78" t="s">
        <v>78</v>
      </c>
      <c r="E185" s="78" t="s">
        <v>78</v>
      </c>
      <c r="F185" s="78" t="s">
        <v>78</v>
      </c>
      <c r="G185" s="78" t="s">
        <v>78</v>
      </c>
      <c r="H185" s="73">
        <v>26</v>
      </c>
      <c r="I185" s="56">
        <v>2017</v>
      </c>
      <c r="J185" s="55" t="s">
        <v>497</v>
      </c>
      <c r="K185" s="83" t="s">
        <v>211</v>
      </c>
      <c r="L185" s="8"/>
    </row>
    <row r="186" spans="1:16" s="12" customFormat="1" ht="28.5" x14ac:dyDescent="0.25">
      <c r="A186" s="91" t="s">
        <v>200</v>
      </c>
      <c r="B186" s="77">
        <v>3</v>
      </c>
      <c r="C186" s="77">
        <v>2</v>
      </c>
      <c r="D186" s="77" t="s">
        <v>78</v>
      </c>
      <c r="E186" s="77" t="s">
        <v>78</v>
      </c>
      <c r="F186" s="77" t="s">
        <v>78</v>
      </c>
      <c r="G186" s="77" t="s">
        <v>78</v>
      </c>
      <c r="H186" s="74">
        <v>18</v>
      </c>
      <c r="I186" s="45">
        <v>2017</v>
      </c>
      <c r="J186" s="91" t="s">
        <v>497</v>
      </c>
      <c r="K186" s="84" t="s">
        <v>211</v>
      </c>
      <c r="L186" s="8"/>
    </row>
    <row r="187" spans="1:16" s="12" customFormat="1" ht="28.5" x14ac:dyDescent="0.25">
      <c r="A187" s="55" t="s">
        <v>228</v>
      </c>
      <c r="B187" s="78">
        <v>1.5</v>
      </c>
      <c r="C187" s="78" t="s">
        <v>78</v>
      </c>
      <c r="D187" s="78" t="s">
        <v>78</v>
      </c>
      <c r="E187" s="78">
        <v>24</v>
      </c>
      <c r="F187" s="78" t="s">
        <v>78</v>
      </c>
      <c r="G187" s="78" t="s">
        <v>78</v>
      </c>
      <c r="H187" s="73">
        <f>B187*E187*365/1000</f>
        <v>13.14</v>
      </c>
      <c r="I187" s="56">
        <v>2015</v>
      </c>
      <c r="J187" s="55" t="s">
        <v>540</v>
      </c>
      <c r="K187" s="83" t="s">
        <v>227</v>
      </c>
      <c r="L187" s="8"/>
      <c r="M187"/>
    </row>
    <row r="188" spans="1:16" s="12" customFormat="1" x14ac:dyDescent="0.25">
      <c r="A188" s="40" t="s">
        <v>498</v>
      </c>
      <c r="B188" s="86"/>
      <c r="C188" s="86"/>
      <c r="D188" s="86"/>
      <c r="E188" s="86"/>
      <c r="F188" s="86"/>
      <c r="G188" s="86"/>
      <c r="H188" s="87"/>
      <c r="I188" s="66"/>
      <c r="J188" s="46"/>
      <c r="K188" s="54"/>
      <c r="L188" s="8"/>
    </row>
    <row r="189" spans="1:16" s="12" customFormat="1" ht="28.5" x14ac:dyDescent="0.25">
      <c r="A189" s="44" t="s">
        <v>536</v>
      </c>
      <c r="B189" s="77">
        <f>H189/E189/365*1000</f>
        <v>506.9444444444444</v>
      </c>
      <c r="C189" s="77" t="s">
        <v>78</v>
      </c>
      <c r="D189" s="77" t="s">
        <v>78</v>
      </c>
      <c r="E189" s="77">
        <f>6*120/365</f>
        <v>1.9726027397260273</v>
      </c>
      <c r="F189" s="77" t="s">
        <v>78</v>
      </c>
      <c r="G189" s="77">
        <f>24-E189</f>
        <v>22.027397260273972</v>
      </c>
      <c r="H189" s="74">
        <v>365</v>
      </c>
      <c r="I189" s="45">
        <v>2015</v>
      </c>
      <c r="J189" s="44" t="s">
        <v>210</v>
      </c>
      <c r="K189" s="53" t="s">
        <v>262</v>
      </c>
      <c r="L189"/>
    </row>
    <row r="190" spans="1:16" s="12" customFormat="1" ht="29.25" customHeight="1" x14ac:dyDescent="0.25">
      <c r="A190" s="55" t="s">
        <v>503</v>
      </c>
      <c r="B190" s="78">
        <f>H190/E190/365*1000</f>
        <v>501.3698630136987</v>
      </c>
      <c r="C190" s="78" t="s">
        <v>78</v>
      </c>
      <c r="D190" s="78" t="s">
        <v>78</v>
      </c>
      <c r="E190" s="78">
        <v>2</v>
      </c>
      <c r="F190" s="78" t="s">
        <v>78</v>
      </c>
      <c r="G190" s="78">
        <f>24-E190</f>
        <v>22</v>
      </c>
      <c r="H190" s="73">
        <v>366</v>
      </c>
      <c r="I190" s="56">
        <v>2015</v>
      </c>
      <c r="J190" s="55" t="s">
        <v>210</v>
      </c>
      <c r="K190" s="57" t="s">
        <v>262</v>
      </c>
      <c r="L190"/>
      <c r="M190"/>
      <c r="N190"/>
      <c r="O190"/>
      <c r="P190"/>
    </row>
    <row r="191" spans="1:16" s="12" customFormat="1" ht="42.75" hidden="1" customHeight="1" x14ac:dyDescent="0.25">
      <c r="A191" s="44" t="s">
        <v>16</v>
      </c>
      <c r="B191" s="77">
        <v>100</v>
      </c>
      <c r="C191" s="77" t="s">
        <v>78</v>
      </c>
      <c r="D191" s="77">
        <v>1</v>
      </c>
      <c r="E191" s="77">
        <v>16</v>
      </c>
      <c r="F191" s="77" t="s">
        <v>78</v>
      </c>
      <c r="G191" s="77">
        <v>8</v>
      </c>
      <c r="H191" s="74">
        <v>587</v>
      </c>
      <c r="I191" s="45">
        <v>2016</v>
      </c>
      <c r="J191" s="44" t="s">
        <v>186</v>
      </c>
      <c r="K191" s="53" t="s">
        <v>101</v>
      </c>
      <c r="L191"/>
      <c r="M191"/>
      <c r="N191"/>
      <c r="O191"/>
      <c r="P191"/>
    </row>
    <row r="192" spans="1:16" s="12" customFormat="1" ht="28.5" x14ac:dyDescent="0.25">
      <c r="A192" s="44" t="s">
        <v>504</v>
      </c>
      <c r="B192" s="77">
        <v>30</v>
      </c>
      <c r="C192" s="77" t="s">
        <v>78</v>
      </c>
      <c r="D192" s="77">
        <v>0.6</v>
      </c>
      <c r="E192" s="77">
        <v>16</v>
      </c>
      <c r="F192" s="77" t="s">
        <v>78</v>
      </c>
      <c r="G192" s="77">
        <v>8</v>
      </c>
      <c r="H192" s="74">
        <v>195</v>
      </c>
      <c r="I192" s="45">
        <v>2016</v>
      </c>
      <c r="J192" s="62" t="s">
        <v>423</v>
      </c>
      <c r="K192" s="84" t="s">
        <v>424</v>
      </c>
      <c r="L192"/>
      <c r="M192"/>
      <c r="N192"/>
      <c r="O192"/>
      <c r="P192"/>
    </row>
    <row r="193" spans="1:16" s="12" customFormat="1" ht="28.5" x14ac:dyDescent="0.25">
      <c r="A193" s="55" t="s">
        <v>189</v>
      </c>
      <c r="B193" s="78">
        <v>525.70000000000005</v>
      </c>
      <c r="C193" s="78" t="s">
        <v>78</v>
      </c>
      <c r="D193" s="78" t="s">
        <v>78</v>
      </c>
      <c r="E193" s="78">
        <v>24</v>
      </c>
      <c r="F193" s="78" t="s">
        <v>78</v>
      </c>
      <c r="G193" s="78" t="s">
        <v>78</v>
      </c>
      <c r="H193" s="73">
        <v>858</v>
      </c>
      <c r="I193" s="56">
        <v>2016</v>
      </c>
      <c r="J193" s="55" t="s">
        <v>423</v>
      </c>
      <c r="K193" s="83" t="s">
        <v>424</v>
      </c>
      <c r="L193"/>
      <c r="M193"/>
      <c r="N193"/>
      <c r="O193"/>
      <c r="P193"/>
    </row>
    <row r="194" spans="1:16" s="12" customFormat="1" ht="28.5" x14ac:dyDescent="0.25">
      <c r="A194" s="44" t="s">
        <v>505</v>
      </c>
      <c r="B194" s="77">
        <v>393.995</v>
      </c>
      <c r="C194" s="77" t="s">
        <v>78</v>
      </c>
      <c r="D194" s="77" t="s">
        <v>78</v>
      </c>
      <c r="E194" s="77">
        <v>24</v>
      </c>
      <c r="F194" s="77" t="s">
        <v>78</v>
      </c>
      <c r="G194" s="77" t="s">
        <v>78</v>
      </c>
      <c r="H194" s="74">
        <v>643</v>
      </c>
      <c r="I194" s="45">
        <v>2016</v>
      </c>
      <c r="J194" s="62" t="s">
        <v>423</v>
      </c>
      <c r="K194" s="84" t="s">
        <v>424</v>
      </c>
      <c r="L194"/>
      <c r="M194"/>
      <c r="N194"/>
      <c r="O194"/>
      <c r="P194"/>
    </row>
    <row r="195" spans="1:16" s="12" customFormat="1" ht="42.75" x14ac:dyDescent="0.25">
      <c r="A195" s="55" t="s">
        <v>506</v>
      </c>
      <c r="B195" s="78">
        <v>75</v>
      </c>
      <c r="C195" s="78" t="s">
        <v>78</v>
      </c>
      <c r="D195" s="78" t="s">
        <v>78</v>
      </c>
      <c r="E195" s="78">
        <v>1.9726027397260273</v>
      </c>
      <c r="F195" s="78" t="s">
        <v>78</v>
      </c>
      <c r="G195" s="78">
        <v>22.027397260273972</v>
      </c>
      <c r="H195" s="73">
        <v>91</v>
      </c>
      <c r="I195" s="56">
        <v>2012</v>
      </c>
      <c r="J195" s="55" t="s">
        <v>256</v>
      </c>
      <c r="K195" s="83" t="s">
        <v>257</v>
      </c>
      <c r="L195" s="8"/>
      <c r="M195"/>
      <c r="N195"/>
      <c r="O195"/>
      <c r="P195"/>
    </row>
    <row r="196" spans="1:16" s="12" customFormat="1" ht="42.75" x14ac:dyDescent="0.25">
      <c r="A196" s="44" t="s">
        <v>507</v>
      </c>
      <c r="B196" s="77">
        <v>75</v>
      </c>
      <c r="C196" s="77" t="s">
        <v>78</v>
      </c>
      <c r="D196" s="77" t="s">
        <v>78</v>
      </c>
      <c r="E196" s="77">
        <v>1.9726027397260273</v>
      </c>
      <c r="F196" s="77" t="s">
        <v>78</v>
      </c>
      <c r="G196" s="77">
        <v>22.027397260273972</v>
      </c>
      <c r="H196" s="74">
        <v>54</v>
      </c>
      <c r="I196" s="45">
        <v>2012</v>
      </c>
      <c r="J196" s="44" t="s">
        <v>256</v>
      </c>
      <c r="K196" s="84" t="s">
        <v>257</v>
      </c>
      <c r="L196" s="8"/>
    </row>
    <row r="197" spans="1:16" s="12" customFormat="1" x14ac:dyDescent="0.25">
      <c r="A197" s="55" t="s">
        <v>38</v>
      </c>
      <c r="B197" s="78">
        <v>100</v>
      </c>
      <c r="C197" s="78" t="s">
        <v>78</v>
      </c>
      <c r="D197" s="78" t="s">
        <v>78</v>
      </c>
      <c r="E197" s="78">
        <v>1.9726027397260273</v>
      </c>
      <c r="F197" s="78" t="s">
        <v>78</v>
      </c>
      <c r="G197" s="78">
        <v>22.027397260273972</v>
      </c>
      <c r="H197" s="73">
        <v>72</v>
      </c>
      <c r="I197" s="56" t="s">
        <v>78</v>
      </c>
      <c r="J197" s="55" t="s">
        <v>445</v>
      </c>
      <c r="K197" s="55" t="s">
        <v>90</v>
      </c>
      <c r="L197" s="8"/>
    </row>
    <row r="198" spans="1:16" s="12" customFormat="1" x14ac:dyDescent="0.25">
      <c r="A198" s="44" t="s">
        <v>39</v>
      </c>
      <c r="B198" s="77">
        <v>1000</v>
      </c>
      <c r="C198" s="77" t="s">
        <v>78</v>
      </c>
      <c r="D198" s="77" t="s">
        <v>78</v>
      </c>
      <c r="E198" s="77">
        <v>2.0246575342465754</v>
      </c>
      <c r="F198" s="77" t="s">
        <v>78</v>
      </c>
      <c r="G198" s="77">
        <v>21.975342465753425</v>
      </c>
      <c r="H198" s="74">
        <v>739</v>
      </c>
      <c r="I198" s="45" t="s">
        <v>78</v>
      </c>
      <c r="J198" s="44" t="s">
        <v>445</v>
      </c>
      <c r="K198" s="62" t="s">
        <v>90</v>
      </c>
      <c r="L198" s="8"/>
    </row>
    <row r="199" spans="1:16" s="12" customFormat="1" ht="28.5" x14ac:dyDescent="0.25">
      <c r="A199" s="55" t="s">
        <v>40</v>
      </c>
      <c r="B199" s="78">
        <f>H199/E199/24/365*1000</f>
        <v>1505.5555555555557</v>
      </c>
      <c r="C199" s="78" t="s">
        <v>78</v>
      </c>
      <c r="D199" s="78" t="s">
        <v>78</v>
      </c>
      <c r="E199" s="78">
        <f>(6*60)/(24*365)</f>
        <v>4.1095890410958902E-2</v>
      </c>
      <c r="F199" s="78" t="s">
        <v>78</v>
      </c>
      <c r="G199" s="78">
        <f>24-E199</f>
        <v>23.958904109589042</v>
      </c>
      <c r="H199" s="73">
        <v>542</v>
      </c>
      <c r="I199" s="56">
        <v>2015</v>
      </c>
      <c r="J199" s="55" t="s">
        <v>210</v>
      </c>
      <c r="K199" s="57" t="s">
        <v>262</v>
      </c>
      <c r="L199" s="8"/>
    </row>
    <row r="200" spans="1:16" s="12" customFormat="1" x14ac:dyDescent="0.25">
      <c r="A200" s="40" t="s">
        <v>508</v>
      </c>
      <c r="B200" s="86"/>
      <c r="C200" s="86"/>
      <c r="D200" s="86"/>
      <c r="E200" s="86"/>
      <c r="F200" s="86"/>
      <c r="G200" s="86"/>
      <c r="H200" s="87"/>
      <c r="I200" s="66"/>
      <c r="J200" s="46"/>
      <c r="K200" s="54"/>
      <c r="L200" s="8"/>
    </row>
    <row r="201" spans="1:16" s="12" customFormat="1" ht="42.75" x14ac:dyDescent="0.25">
      <c r="A201" s="44" t="s">
        <v>41</v>
      </c>
      <c r="B201" s="77">
        <v>2</v>
      </c>
      <c r="C201" s="77" t="s">
        <v>78</v>
      </c>
      <c r="D201" s="77" t="s">
        <v>78</v>
      </c>
      <c r="E201" s="77">
        <v>24</v>
      </c>
      <c r="F201" s="77">
        <v>0</v>
      </c>
      <c r="G201" s="77">
        <v>0</v>
      </c>
      <c r="H201" s="74">
        <f>E201*B201*365/1000</f>
        <v>17.52</v>
      </c>
      <c r="I201" s="45">
        <v>2014</v>
      </c>
      <c r="J201" s="44" t="s">
        <v>113</v>
      </c>
      <c r="K201" s="53" t="s">
        <v>261</v>
      </c>
      <c r="L201" s="8"/>
    </row>
    <row r="202" spans="1:16" s="12" customFormat="1" ht="42.75" x14ac:dyDescent="0.25">
      <c r="A202" s="55" t="s">
        <v>145</v>
      </c>
      <c r="B202" s="78">
        <v>52</v>
      </c>
      <c r="C202" s="78">
        <v>2</v>
      </c>
      <c r="D202" s="78">
        <v>1</v>
      </c>
      <c r="E202" s="78">
        <f>314/365</f>
        <v>0.86027397260273974</v>
      </c>
      <c r="F202" s="78">
        <f>3217/365</f>
        <v>8.8136986301369866</v>
      </c>
      <c r="G202" s="78">
        <f>4015/365</f>
        <v>11</v>
      </c>
      <c r="H202" s="73">
        <f>(G202*D202+F202*C202+E202*B202)*365/1000</f>
        <v>26.777000000000001</v>
      </c>
      <c r="I202" s="56">
        <v>2014</v>
      </c>
      <c r="J202" s="55" t="s">
        <v>113</v>
      </c>
      <c r="K202" s="57" t="s">
        <v>261</v>
      </c>
      <c r="L202" s="8"/>
    </row>
    <row r="203" spans="1:16" s="12" customFormat="1" ht="44.25" customHeight="1" x14ac:dyDescent="0.25">
      <c r="A203" s="44" t="s">
        <v>146</v>
      </c>
      <c r="B203" s="77" t="s">
        <v>78</v>
      </c>
      <c r="C203" s="77" t="s">
        <v>78</v>
      </c>
      <c r="D203" s="77" t="s">
        <v>78</v>
      </c>
      <c r="E203" s="77" t="s">
        <v>78</v>
      </c>
      <c r="F203" s="77" t="s">
        <v>78</v>
      </c>
      <c r="G203" s="77" t="s">
        <v>78</v>
      </c>
      <c r="H203" s="74">
        <v>6.4</v>
      </c>
      <c r="I203" s="45">
        <v>2016</v>
      </c>
      <c r="J203" s="44" t="s">
        <v>499</v>
      </c>
      <c r="K203" s="84" t="s">
        <v>500</v>
      </c>
      <c r="L203" s="8"/>
    </row>
    <row r="204" spans="1:16" s="12" customFormat="1" ht="43.5" customHeight="1" x14ac:dyDescent="0.25">
      <c r="A204" s="55" t="s">
        <v>198</v>
      </c>
      <c r="B204" s="78" t="s">
        <v>78</v>
      </c>
      <c r="C204" s="78" t="s">
        <v>78</v>
      </c>
      <c r="D204" s="78" t="s">
        <v>78</v>
      </c>
      <c r="E204" s="78" t="s">
        <v>78</v>
      </c>
      <c r="F204" s="78" t="s">
        <v>78</v>
      </c>
      <c r="G204" s="78" t="s">
        <v>78</v>
      </c>
      <c r="H204" s="73">
        <v>2.6</v>
      </c>
      <c r="I204" s="56">
        <v>2016</v>
      </c>
      <c r="J204" s="55" t="s">
        <v>499</v>
      </c>
      <c r="K204" s="83" t="s">
        <v>500</v>
      </c>
      <c r="L204" s="8"/>
    </row>
    <row r="205" spans="1:16" s="12" customFormat="1" ht="42.75" x14ac:dyDescent="0.25">
      <c r="A205" s="44" t="s">
        <v>147</v>
      </c>
      <c r="B205" s="77">
        <v>1.4</v>
      </c>
      <c r="C205" s="77">
        <v>1.2</v>
      </c>
      <c r="D205" s="77">
        <v>0.3</v>
      </c>
      <c r="E205" s="77">
        <f>526/365</f>
        <v>1.441095890410959</v>
      </c>
      <c r="F205" s="77">
        <f>752/365</f>
        <v>2.0602739726027397</v>
      </c>
      <c r="G205" s="77">
        <f>(548+6935)/365</f>
        <v>20.5013698630137</v>
      </c>
      <c r="H205" s="74">
        <f>(G205*D205+F205*C205+E205*B205)*365/1000</f>
        <v>3.8837000000000002</v>
      </c>
      <c r="I205" s="45">
        <v>2014</v>
      </c>
      <c r="J205" s="44" t="s">
        <v>113</v>
      </c>
      <c r="K205" s="84" t="s">
        <v>261</v>
      </c>
      <c r="L205" s="8"/>
    </row>
    <row r="206" spans="1:16" s="12" customFormat="1" ht="42.75" x14ac:dyDescent="0.25">
      <c r="A206" s="55" t="s">
        <v>149</v>
      </c>
      <c r="B206" s="78">
        <v>6</v>
      </c>
      <c r="C206" s="78">
        <v>4</v>
      </c>
      <c r="D206" s="78" t="s">
        <v>78</v>
      </c>
      <c r="E206" s="78">
        <v>1</v>
      </c>
      <c r="F206" s="78">
        <f>8395/365</f>
        <v>23</v>
      </c>
      <c r="G206" s="78">
        <v>0</v>
      </c>
      <c r="H206" s="73">
        <v>35.770000000000003</v>
      </c>
      <c r="I206" s="56">
        <v>2014</v>
      </c>
      <c r="J206" s="55" t="s">
        <v>113</v>
      </c>
      <c r="K206" s="83" t="s">
        <v>261</v>
      </c>
      <c r="L206" s="8"/>
    </row>
    <row r="207" spans="1:16" s="12" customFormat="1" ht="42.75" x14ac:dyDescent="0.25">
      <c r="A207" s="44" t="s">
        <v>509</v>
      </c>
      <c r="B207" s="77">
        <v>4</v>
      </c>
      <c r="C207" s="77">
        <v>2.2000000000000002</v>
      </c>
      <c r="D207" s="77">
        <v>0.2</v>
      </c>
      <c r="E207" s="77">
        <f>110/365</f>
        <v>0.30136986301369861</v>
      </c>
      <c r="F207" s="77">
        <v>0</v>
      </c>
      <c r="G207" s="77">
        <f>8650/365</f>
        <v>23.698630136986303</v>
      </c>
      <c r="H207" s="74">
        <f>(G207*D207+E207*B207)*365/1000</f>
        <v>2.17</v>
      </c>
      <c r="I207" s="45">
        <v>2014</v>
      </c>
      <c r="J207" s="44" t="s">
        <v>113</v>
      </c>
      <c r="K207" s="84" t="s">
        <v>261</v>
      </c>
      <c r="L207" s="8"/>
    </row>
    <row r="208" spans="1:16" s="12" customFormat="1" ht="42.75" x14ac:dyDescent="0.25">
      <c r="A208" s="55" t="s">
        <v>165</v>
      </c>
      <c r="B208" s="78">
        <f>6.54*(0.82/0.76+0.18/0.67)/E208*0.92</f>
        <v>4.196824149927056</v>
      </c>
      <c r="C208" s="78">
        <v>0.5</v>
      </c>
      <c r="D208" s="78">
        <v>0.13</v>
      </c>
      <c r="E208" s="78">
        <f>2.1*0.92</f>
        <v>1.9320000000000002</v>
      </c>
      <c r="F208" s="78">
        <v>3.3</v>
      </c>
      <c r="G208" s="78">
        <v>15.4</v>
      </c>
      <c r="H208" s="73">
        <v>4.5</v>
      </c>
      <c r="I208" s="56">
        <v>2014</v>
      </c>
      <c r="J208" s="55" t="s">
        <v>113</v>
      </c>
      <c r="K208" s="83" t="s">
        <v>261</v>
      </c>
      <c r="L208" s="8"/>
    </row>
    <row r="209" spans="1:12" s="12" customFormat="1" ht="42.75" x14ac:dyDescent="0.25">
      <c r="A209" s="44" t="s">
        <v>170</v>
      </c>
      <c r="B209" s="77" t="s">
        <v>78</v>
      </c>
      <c r="C209" s="77" t="s">
        <v>78</v>
      </c>
      <c r="D209" s="77" t="s">
        <v>78</v>
      </c>
      <c r="E209" s="77" t="s">
        <v>78</v>
      </c>
      <c r="F209" s="77" t="s">
        <v>78</v>
      </c>
      <c r="G209" s="77" t="s">
        <v>78</v>
      </c>
      <c r="H209" s="74">
        <v>2.2000000000000002</v>
      </c>
      <c r="I209" s="45">
        <v>2011</v>
      </c>
      <c r="J209" s="44" t="s">
        <v>98</v>
      </c>
      <c r="K209" s="84" t="s">
        <v>261</v>
      </c>
      <c r="L209" s="8"/>
    </row>
    <row r="210" spans="1:12" s="12" customFormat="1" ht="42.75" x14ac:dyDescent="0.25">
      <c r="A210" s="55" t="s">
        <v>168</v>
      </c>
      <c r="B210" s="78">
        <f>5.3/0.75/E210*0.92</f>
        <v>4.1568627450980395</v>
      </c>
      <c r="C210" s="78">
        <v>0.64</v>
      </c>
      <c r="D210" s="78">
        <v>0.21</v>
      </c>
      <c r="E210" s="78">
        <f>1.7*0.92</f>
        <v>1.5640000000000001</v>
      </c>
      <c r="F210" s="78">
        <f>4.1-E210</f>
        <v>2.5359999999999996</v>
      </c>
      <c r="G210" s="78">
        <v>11</v>
      </c>
      <c r="H210" s="73">
        <f>(G210*D210+F210*C210+E210*B210)*365/1000</f>
        <v>3.8085462666666667</v>
      </c>
      <c r="I210" s="56">
        <v>2014</v>
      </c>
      <c r="J210" s="55" t="s">
        <v>113</v>
      </c>
      <c r="K210" s="83" t="s">
        <v>261</v>
      </c>
      <c r="L210" s="8"/>
    </row>
    <row r="211" spans="1:12" s="12" customFormat="1" ht="42.75" x14ac:dyDescent="0.25">
      <c r="A211" s="44" t="s">
        <v>169</v>
      </c>
      <c r="B211" s="77" t="s">
        <v>78</v>
      </c>
      <c r="C211" s="77">
        <v>0.35</v>
      </c>
      <c r="D211" s="77">
        <v>0.21</v>
      </c>
      <c r="E211" s="77">
        <v>1.9</v>
      </c>
      <c r="F211" s="77">
        <v>2.2000000000000002</v>
      </c>
      <c r="G211" s="77">
        <v>11</v>
      </c>
      <c r="H211" s="74">
        <f>(5.3/0.75*0.92+G211*D211+F211*C211)*365/1000</f>
        <v>3.4971866666666664</v>
      </c>
      <c r="I211" s="45">
        <v>2014</v>
      </c>
      <c r="J211" s="44" t="s">
        <v>113</v>
      </c>
      <c r="K211" s="84" t="s">
        <v>261</v>
      </c>
      <c r="L211" s="8"/>
    </row>
    <row r="212" spans="1:12" s="12" customFormat="1" ht="42.75" x14ac:dyDescent="0.25">
      <c r="A212" s="55" t="s">
        <v>167</v>
      </c>
      <c r="B212" s="78">
        <f>5.5/0.75/E212*0.92</f>
        <v>4.0740740740740735</v>
      </c>
      <c r="C212" s="78">
        <v>0.71</v>
      </c>
      <c r="D212" s="78">
        <v>0.21</v>
      </c>
      <c r="E212" s="78">
        <f>1.8*0.92</f>
        <v>1.6560000000000001</v>
      </c>
      <c r="F212" s="78">
        <f>4.1-E212</f>
        <v>2.4439999999999995</v>
      </c>
      <c r="G212" s="78">
        <v>11</v>
      </c>
      <c r="H212" s="73">
        <f>(G212*D212+F212*C212+E212*B212)*365/1000</f>
        <v>3.939045933333333</v>
      </c>
      <c r="I212" s="56">
        <v>2014</v>
      </c>
      <c r="J212" s="55" t="s">
        <v>113</v>
      </c>
      <c r="K212" s="83" t="s">
        <v>261</v>
      </c>
      <c r="L212" s="8"/>
    </row>
    <row r="213" spans="1:12" s="12" customFormat="1" ht="42.75" x14ac:dyDescent="0.25">
      <c r="A213" s="44" t="s">
        <v>166</v>
      </c>
      <c r="B213" s="77" t="s">
        <v>78</v>
      </c>
      <c r="C213" s="77">
        <v>0.09</v>
      </c>
      <c r="D213" s="77">
        <v>0.02</v>
      </c>
      <c r="E213" s="77">
        <v>1.9</v>
      </c>
      <c r="F213" s="77">
        <v>2.2000000000000002</v>
      </c>
      <c r="G213" s="77">
        <v>11</v>
      </c>
      <c r="H213" s="74">
        <f>(5.9/0.75*0.92+G213*D213+F213*C213)*365/1000</f>
        <v>2.7941966666666667</v>
      </c>
      <c r="I213" s="45">
        <v>2014</v>
      </c>
      <c r="J213" s="44" t="s">
        <v>113</v>
      </c>
      <c r="K213" s="84" t="s">
        <v>261</v>
      </c>
      <c r="L213" s="8"/>
    </row>
    <row r="214" spans="1:12" s="12" customFormat="1" ht="42.75" x14ac:dyDescent="0.25">
      <c r="A214" s="55" t="s">
        <v>172</v>
      </c>
      <c r="B214" s="78">
        <f>8/0.77/E214*0.92</f>
        <v>4.1558441558441555</v>
      </c>
      <c r="C214" s="78">
        <v>0.43</v>
      </c>
      <c r="D214" s="78">
        <v>0.01</v>
      </c>
      <c r="E214" s="78">
        <f>2.5*0.92</f>
        <v>2.3000000000000003</v>
      </c>
      <c r="F214" s="78">
        <v>2.2000000000000002</v>
      </c>
      <c r="G214" s="78">
        <v>11</v>
      </c>
      <c r="H214" s="73">
        <f>(G214*D214+F214*C214+E214*B214)*365/1000</f>
        <v>3.8742711688311693</v>
      </c>
      <c r="I214" s="56">
        <v>2014</v>
      </c>
      <c r="J214" s="55" t="s">
        <v>113</v>
      </c>
      <c r="K214" s="83" t="s">
        <v>261</v>
      </c>
      <c r="L214" s="8"/>
    </row>
    <row r="215" spans="1:12" s="12" customFormat="1" ht="42.75" x14ac:dyDescent="0.25">
      <c r="A215" s="44" t="s">
        <v>171</v>
      </c>
      <c r="B215" s="77">
        <f>9.9/0.77/E215*0.92</f>
        <v>4.4334975369458132</v>
      </c>
      <c r="C215" s="77">
        <v>0.43</v>
      </c>
      <c r="D215" s="77">
        <v>0.02</v>
      </c>
      <c r="E215" s="77">
        <f>2.9*0.92</f>
        <v>2.6680000000000001</v>
      </c>
      <c r="F215" s="77">
        <v>2.2000000000000002</v>
      </c>
      <c r="G215" s="77">
        <v>11</v>
      </c>
      <c r="H215" s="74">
        <f>(G215*D215+F215*C215+E215*B215)*365/1000</f>
        <v>4.7430185714285722</v>
      </c>
      <c r="I215" s="45">
        <v>2014</v>
      </c>
      <c r="J215" s="44" t="s">
        <v>113</v>
      </c>
      <c r="K215" s="84" t="s">
        <v>261</v>
      </c>
      <c r="L215" s="8"/>
    </row>
    <row r="216" spans="1:12" s="12" customFormat="1" ht="42.75" x14ac:dyDescent="0.25">
      <c r="A216" s="55" t="s">
        <v>124</v>
      </c>
      <c r="B216" s="78">
        <f>25.6/0.78/4.2</f>
        <v>7.8144078144078151</v>
      </c>
      <c r="C216" s="78">
        <v>0.34</v>
      </c>
      <c r="D216" s="78">
        <v>0.09</v>
      </c>
      <c r="E216" s="78">
        <v>1.8</v>
      </c>
      <c r="F216" s="78">
        <v>3.4</v>
      </c>
      <c r="G216" s="78">
        <v>10</v>
      </c>
      <c r="H216" s="73">
        <v>6.1</v>
      </c>
      <c r="I216" s="56">
        <v>2014</v>
      </c>
      <c r="J216" s="55" t="s">
        <v>113</v>
      </c>
      <c r="K216" s="83" t="s">
        <v>261</v>
      </c>
      <c r="L216" s="8"/>
    </row>
    <row r="217" spans="1:12" s="12" customFormat="1" ht="28.5" x14ac:dyDescent="0.2">
      <c r="A217" s="44" t="s">
        <v>150</v>
      </c>
      <c r="B217" s="77" t="s">
        <v>78</v>
      </c>
      <c r="C217" s="77" t="s">
        <v>78</v>
      </c>
      <c r="D217" s="77" t="s">
        <v>78</v>
      </c>
      <c r="E217" s="77" t="s">
        <v>78</v>
      </c>
      <c r="F217" s="77" t="s">
        <v>78</v>
      </c>
      <c r="G217" s="77" t="s">
        <v>78</v>
      </c>
      <c r="H217" s="74">
        <v>7.1</v>
      </c>
      <c r="I217" s="45">
        <v>2011</v>
      </c>
      <c r="J217" s="44" t="s">
        <v>98</v>
      </c>
      <c r="K217" s="88" t="s">
        <v>90</v>
      </c>
      <c r="L217" s="8"/>
    </row>
    <row r="218" spans="1:12" s="12" customFormat="1" ht="42.75" x14ac:dyDescent="0.25">
      <c r="A218" s="55" t="s">
        <v>123</v>
      </c>
      <c r="B218" s="78">
        <f>25/0.81/3.5</f>
        <v>8.8183421516754841</v>
      </c>
      <c r="C218" s="78">
        <v>0.41</v>
      </c>
      <c r="D218" s="78">
        <v>0.08</v>
      </c>
      <c r="E218" s="78">
        <f>3.5*0.44</f>
        <v>1.54</v>
      </c>
      <c r="F218" s="78">
        <f t="shared" ref="F218:F225" si="1">4.4-E218</f>
        <v>2.8600000000000003</v>
      </c>
      <c r="G218" s="78">
        <v>8.5</v>
      </c>
      <c r="H218" s="73">
        <f t="shared" ref="H218:H225" si="2">(G218*D218+F218*C218+E218*B218)*365/1000</f>
        <v>5.632989123456789</v>
      </c>
      <c r="I218" s="56">
        <v>2014</v>
      </c>
      <c r="J218" s="55" t="s">
        <v>113</v>
      </c>
      <c r="K218" s="83" t="s">
        <v>261</v>
      </c>
      <c r="L218" s="8"/>
    </row>
    <row r="219" spans="1:12" s="12" customFormat="1" ht="42.75" x14ac:dyDescent="0.25">
      <c r="A219" s="44" t="s">
        <v>122</v>
      </c>
      <c r="B219" s="77">
        <f>43/0.81/5.5</f>
        <v>9.652076318742985</v>
      </c>
      <c r="C219" s="77">
        <v>0.65</v>
      </c>
      <c r="D219" s="77">
        <v>0.08</v>
      </c>
      <c r="E219" s="77">
        <f>5.5*0.44</f>
        <v>2.42</v>
      </c>
      <c r="F219" s="77">
        <f t="shared" si="1"/>
        <v>1.9800000000000004</v>
      </c>
      <c r="G219" s="77">
        <v>8.5</v>
      </c>
      <c r="H219" s="74">
        <f t="shared" si="2"/>
        <v>9.2436340123456802</v>
      </c>
      <c r="I219" s="45">
        <v>2014</v>
      </c>
      <c r="J219" s="44" t="s">
        <v>113</v>
      </c>
      <c r="K219" s="84" t="s">
        <v>261</v>
      </c>
      <c r="L219" s="8"/>
    </row>
    <row r="220" spans="1:12" s="12" customFormat="1" ht="42.75" x14ac:dyDescent="0.25">
      <c r="A220" s="55" t="s">
        <v>121</v>
      </c>
      <c r="B220" s="78">
        <f>32.4/0.84/5.1</f>
        <v>7.5630252100840334</v>
      </c>
      <c r="C220" s="78">
        <v>0.14000000000000001</v>
      </c>
      <c r="D220" s="78">
        <v>0.08</v>
      </c>
      <c r="E220" s="78">
        <f>5.1*0.44</f>
        <v>2.2439999999999998</v>
      </c>
      <c r="F220" s="78">
        <f t="shared" si="1"/>
        <v>2.1560000000000006</v>
      </c>
      <c r="G220" s="78">
        <v>8.5</v>
      </c>
      <c r="H220" s="73">
        <f t="shared" si="2"/>
        <v>6.5529430285714279</v>
      </c>
      <c r="I220" s="56">
        <v>2014</v>
      </c>
      <c r="J220" s="55" t="s">
        <v>113</v>
      </c>
      <c r="K220" s="83" t="s">
        <v>261</v>
      </c>
      <c r="L220" s="8"/>
    </row>
    <row r="221" spans="1:12" s="12" customFormat="1" ht="42.75" x14ac:dyDescent="0.25">
      <c r="A221" s="44" t="s">
        <v>175</v>
      </c>
      <c r="B221" s="77">
        <f>16.5/0.75/4.1</f>
        <v>5.3658536585365857</v>
      </c>
      <c r="C221" s="77">
        <v>0.27</v>
      </c>
      <c r="D221" s="77">
        <v>0.09</v>
      </c>
      <c r="E221" s="77">
        <f>4.1*0.44</f>
        <v>1.8039999999999998</v>
      </c>
      <c r="F221" s="77">
        <f t="shared" si="1"/>
        <v>2.5960000000000005</v>
      </c>
      <c r="G221" s="77">
        <v>8.5</v>
      </c>
      <c r="H221" s="74">
        <f t="shared" si="2"/>
        <v>4.0682608</v>
      </c>
      <c r="I221" s="45">
        <v>2014</v>
      </c>
      <c r="J221" s="44" t="s">
        <v>113</v>
      </c>
      <c r="K221" s="84" t="s">
        <v>261</v>
      </c>
      <c r="L221" s="8"/>
    </row>
    <row r="222" spans="1:12" s="12" customFormat="1" ht="42.75" x14ac:dyDescent="0.25">
      <c r="A222" s="55" t="s">
        <v>164</v>
      </c>
      <c r="B222" s="78">
        <f>16.5/0.75/3.1</f>
        <v>7.096774193548387</v>
      </c>
      <c r="C222" s="78">
        <v>0.27</v>
      </c>
      <c r="D222" s="78">
        <v>0.1</v>
      </c>
      <c r="E222" s="78">
        <f>3.1*0.44</f>
        <v>1.3640000000000001</v>
      </c>
      <c r="F222" s="78">
        <f t="shared" si="1"/>
        <v>3.0360000000000005</v>
      </c>
      <c r="G222" s="78">
        <v>8.5</v>
      </c>
      <c r="H222" s="73">
        <f t="shared" si="2"/>
        <v>4.1426477999999998</v>
      </c>
      <c r="I222" s="56">
        <v>2014</v>
      </c>
      <c r="J222" s="55" t="s">
        <v>113</v>
      </c>
      <c r="K222" s="83" t="s">
        <v>261</v>
      </c>
      <c r="L222" s="8"/>
    </row>
    <row r="223" spans="1:12" s="12" customFormat="1" ht="42.75" x14ac:dyDescent="0.25">
      <c r="A223" s="44" t="s">
        <v>163</v>
      </c>
      <c r="B223" s="77">
        <f>22.2/0.81/4.5</f>
        <v>6.0905349794238681</v>
      </c>
      <c r="C223" s="77">
        <v>0.4</v>
      </c>
      <c r="D223" s="77">
        <v>0.1</v>
      </c>
      <c r="E223" s="77">
        <f>4.5*0.44</f>
        <v>1.98</v>
      </c>
      <c r="F223" s="77">
        <f t="shared" si="1"/>
        <v>2.4200000000000004</v>
      </c>
      <c r="G223" s="77">
        <v>8.5</v>
      </c>
      <c r="H223" s="74">
        <f t="shared" si="2"/>
        <v>5.0651996296296291</v>
      </c>
      <c r="I223" s="45">
        <v>2014</v>
      </c>
      <c r="J223" s="44" t="s">
        <v>113</v>
      </c>
      <c r="K223" s="84" t="s">
        <v>261</v>
      </c>
      <c r="L223" s="8"/>
    </row>
    <row r="224" spans="1:12" s="12" customFormat="1" ht="42.75" x14ac:dyDescent="0.25">
      <c r="A224" s="55" t="s">
        <v>174</v>
      </c>
      <c r="B224" s="78">
        <f>25.9/0.81/5</f>
        <v>6.3950617283950608</v>
      </c>
      <c r="C224" s="78">
        <v>0.4</v>
      </c>
      <c r="D224" s="78">
        <v>0.09</v>
      </c>
      <c r="E224" s="78">
        <f>5*0.44</f>
        <v>2.2000000000000002</v>
      </c>
      <c r="F224" s="78">
        <f t="shared" si="1"/>
        <v>2.2000000000000002</v>
      </c>
      <c r="G224" s="78">
        <v>8.5</v>
      </c>
      <c r="H224" s="73">
        <f t="shared" si="2"/>
        <v>5.7356595679012345</v>
      </c>
      <c r="I224" s="56">
        <v>2014</v>
      </c>
      <c r="J224" s="55" t="s">
        <v>113</v>
      </c>
      <c r="K224" s="83" t="s">
        <v>261</v>
      </c>
      <c r="L224" s="8"/>
    </row>
    <row r="225" spans="1:12" s="12" customFormat="1" ht="42.75" x14ac:dyDescent="0.25">
      <c r="A225" s="44" t="s">
        <v>173</v>
      </c>
      <c r="B225" s="77">
        <f>14.8/0.75/3.6</f>
        <v>5.4814814814814818</v>
      </c>
      <c r="C225" s="77">
        <v>0.27</v>
      </c>
      <c r="D225" s="77">
        <v>0.02</v>
      </c>
      <c r="E225" s="77">
        <f>3.6*0.44</f>
        <v>1.5840000000000001</v>
      </c>
      <c r="F225" s="77">
        <f t="shared" si="1"/>
        <v>2.8160000000000003</v>
      </c>
      <c r="G225" s="77">
        <v>8.5</v>
      </c>
      <c r="H225" s="74">
        <f t="shared" si="2"/>
        <v>3.5087401333333337</v>
      </c>
      <c r="I225" s="45">
        <v>2014</v>
      </c>
      <c r="J225" s="44" t="s">
        <v>113</v>
      </c>
      <c r="K225" s="84" t="s">
        <v>261</v>
      </c>
      <c r="L225" s="8"/>
    </row>
    <row r="226" spans="1:12" s="12" customFormat="1" x14ac:dyDescent="0.25">
      <c r="A226" s="40" t="s">
        <v>510</v>
      </c>
      <c r="B226" s="86"/>
      <c r="C226" s="86"/>
      <c r="D226" s="86"/>
      <c r="E226" s="86"/>
      <c r="F226" s="86"/>
      <c r="G226" s="86"/>
      <c r="H226" s="87"/>
      <c r="I226" s="66"/>
      <c r="J226" s="46"/>
      <c r="K226" s="54"/>
      <c r="L226" s="8"/>
    </row>
    <row r="227" spans="1:12" s="12" customFormat="1" ht="42.75" x14ac:dyDescent="0.25">
      <c r="A227" s="44" t="s">
        <v>6</v>
      </c>
      <c r="B227" s="77">
        <v>2</v>
      </c>
      <c r="C227" s="77">
        <v>1</v>
      </c>
      <c r="D227" s="77" t="s">
        <v>78</v>
      </c>
      <c r="E227" s="77">
        <v>5</v>
      </c>
      <c r="F227" s="77">
        <v>19</v>
      </c>
      <c r="G227" s="77" t="s">
        <v>78</v>
      </c>
      <c r="H227" s="74">
        <f>(B227*E227+C227*F227)*365/1000</f>
        <v>10.585000000000001</v>
      </c>
      <c r="I227" s="45">
        <v>2016</v>
      </c>
      <c r="J227" s="44" t="s">
        <v>259</v>
      </c>
      <c r="K227" s="84" t="s">
        <v>258</v>
      </c>
      <c r="L227" s="8"/>
    </row>
    <row r="228" spans="1:12" s="12" customFormat="1" ht="42.75" x14ac:dyDescent="0.25">
      <c r="A228" s="55" t="s">
        <v>177</v>
      </c>
      <c r="B228" s="78">
        <v>12.1</v>
      </c>
      <c r="C228" s="78">
        <v>8.5</v>
      </c>
      <c r="D228" s="78">
        <v>1</v>
      </c>
      <c r="E228" s="78">
        <f>24-G228-F228</f>
        <v>0.69999999999999929</v>
      </c>
      <c r="F228" s="78">
        <v>2.5</v>
      </c>
      <c r="G228" s="78">
        <v>20.8</v>
      </c>
      <c r="H228" s="73">
        <f>(B228*E228+C228*F228+D228*G228)*365/1000</f>
        <v>18.439799999999998</v>
      </c>
      <c r="I228" s="56">
        <v>2016</v>
      </c>
      <c r="J228" s="55" t="s">
        <v>499</v>
      </c>
      <c r="K228" s="83" t="s">
        <v>500</v>
      </c>
      <c r="L228" s="8"/>
    </row>
    <row r="229" spans="1:12" s="12" customFormat="1" ht="42.75" x14ac:dyDescent="0.25">
      <c r="A229" s="44" t="s">
        <v>178</v>
      </c>
      <c r="B229" s="77">
        <v>10.5</v>
      </c>
      <c r="C229" s="77">
        <v>5</v>
      </c>
      <c r="D229" s="77">
        <v>1</v>
      </c>
      <c r="E229" s="77">
        <v>0.7</v>
      </c>
      <c r="F229" s="77">
        <v>2.5</v>
      </c>
      <c r="G229" s="77">
        <v>20.8</v>
      </c>
      <c r="H229" s="74">
        <f>(B229*E229+C229*F229+D229*G229)*365/1000</f>
        <v>14.837250000000001</v>
      </c>
      <c r="I229" s="45">
        <v>2016</v>
      </c>
      <c r="J229" s="44" t="s">
        <v>499</v>
      </c>
      <c r="K229" s="84" t="s">
        <v>500</v>
      </c>
      <c r="L229" s="8"/>
    </row>
    <row r="230" spans="1:12" s="12" customFormat="1" ht="42.75" x14ac:dyDescent="0.25">
      <c r="A230" s="55" t="s">
        <v>131</v>
      </c>
      <c r="B230" s="78">
        <v>4.5999999999999996</v>
      </c>
      <c r="C230" s="78">
        <v>4.5</v>
      </c>
      <c r="D230" s="78" t="s">
        <v>78</v>
      </c>
      <c r="E230" s="78">
        <v>24</v>
      </c>
      <c r="F230" s="78">
        <v>0</v>
      </c>
      <c r="G230" s="78">
        <v>0</v>
      </c>
      <c r="H230" s="73">
        <v>40.299999999999997</v>
      </c>
      <c r="I230" s="56">
        <v>2014</v>
      </c>
      <c r="J230" s="55" t="s">
        <v>113</v>
      </c>
      <c r="K230" s="57" t="s">
        <v>261</v>
      </c>
      <c r="L230" s="8"/>
    </row>
    <row r="231" spans="1:12" s="12" customFormat="1" ht="42.75" x14ac:dyDescent="0.25">
      <c r="A231" s="44" t="s">
        <v>127</v>
      </c>
      <c r="B231" s="77">
        <v>25.8</v>
      </c>
      <c r="C231" s="77">
        <v>22.9</v>
      </c>
      <c r="D231" s="77" t="s">
        <v>78</v>
      </c>
      <c r="E231" s="77">
        <v>12.1</v>
      </c>
      <c r="F231" s="77">
        <v>11.9</v>
      </c>
      <c r="G231" s="77">
        <v>0</v>
      </c>
      <c r="H231" s="74">
        <v>213.4</v>
      </c>
      <c r="I231" s="45">
        <v>2014</v>
      </c>
      <c r="J231" s="44" t="s">
        <v>113</v>
      </c>
      <c r="K231" s="53" t="s">
        <v>261</v>
      </c>
      <c r="L231" s="8"/>
    </row>
    <row r="232" spans="1:12" s="12" customFormat="1" ht="42.75" x14ac:dyDescent="0.25">
      <c r="A232" s="55" t="s">
        <v>126</v>
      </c>
      <c r="B232" s="78">
        <v>15.5</v>
      </c>
      <c r="C232" s="78">
        <v>13.1</v>
      </c>
      <c r="D232" s="78" t="s">
        <v>78</v>
      </c>
      <c r="E232" s="78">
        <v>12.1</v>
      </c>
      <c r="F232" s="78">
        <v>11.9</v>
      </c>
      <c r="G232" s="78">
        <v>0</v>
      </c>
      <c r="H232" s="73">
        <v>125.6</v>
      </c>
      <c r="I232" s="56">
        <v>2014</v>
      </c>
      <c r="J232" s="55" t="s">
        <v>113</v>
      </c>
      <c r="K232" s="57" t="s">
        <v>261</v>
      </c>
      <c r="L232" s="8"/>
    </row>
    <row r="233" spans="1:12" s="12" customFormat="1" ht="42.75" x14ac:dyDescent="0.25">
      <c r="A233" s="44" t="s">
        <v>129</v>
      </c>
      <c r="B233" s="77">
        <v>25.5</v>
      </c>
      <c r="C233" s="77">
        <v>22.1</v>
      </c>
      <c r="D233" s="77" t="s">
        <v>78</v>
      </c>
      <c r="E233" s="77">
        <v>12.1</v>
      </c>
      <c r="F233" s="77">
        <v>11.9</v>
      </c>
      <c r="G233" s="77">
        <v>0</v>
      </c>
      <c r="H233" s="74">
        <v>208.6</v>
      </c>
      <c r="I233" s="45">
        <v>2014</v>
      </c>
      <c r="J233" s="44" t="s">
        <v>113</v>
      </c>
      <c r="K233" s="53" t="s">
        <v>261</v>
      </c>
      <c r="L233" s="8"/>
    </row>
    <row r="234" spans="1:12" s="12" customFormat="1" ht="42.75" x14ac:dyDescent="0.25">
      <c r="A234" s="55" t="s">
        <v>128</v>
      </c>
      <c r="B234" s="78">
        <v>26.9</v>
      </c>
      <c r="C234" s="78">
        <v>26</v>
      </c>
      <c r="D234" s="78" t="s">
        <v>78</v>
      </c>
      <c r="E234" s="78">
        <v>12.1</v>
      </c>
      <c r="F234" s="78">
        <v>11.9</v>
      </c>
      <c r="G234" s="78">
        <v>0</v>
      </c>
      <c r="H234" s="73">
        <v>231.4</v>
      </c>
      <c r="I234" s="56">
        <v>2014</v>
      </c>
      <c r="J234" s="55" t="s">
        <v>113</v>
      </c>
      <c r="K234" s="57" t="s">
        <v>261</v>
      </c>
      <c r="L234" s="8"/>
    </row>
    <row r="235" spans="1:12" s="12" customFormat="1" ht="42.75" x14ac:dyDescent="0.25">
      <c r="A235" s="44" t="s">
        <v>125</v>
      </c>
      <c r="B235" s="77">
        <v>15.7</v>
      </c>
      <c r="C235" s="77">
        <v>13.4</v>
      </c>
      <c r="D235" s="77" t="s">
        <v>78</v>
      </c>
      <c r="E235" s="77">
        <v>12.1</v>
      </c>
      <c r="F235" s="77">
        <v>11.9</v>
      </c>
      <c r="G235" s="77">
        <v>0</v>
      </c>
      <c r="H235" s="74">
        <v>127.7</v>
      </c>
      <c r="I235" s="45">
        <v>2014</v>
      </c>
      <c r="J235" s="44" t="s">
        <v>113</v>
      </c>
      <c r="K235" s="53" t="s">
        <v>261</v>
      </c>
      <c r="L235" s="8"/>
    </row>
    <row r="236" spans="1:12" s="12" customFormat="1" ht="42.75" x14ac:dyDescent="0.25">
      <c r="A236" s="55" t="s">
        <v>130</v>
      </c>
      <c r="B236" s="78" t="s">
        <v>78</v>
      </c>
      <c r="C236" s="78" t="s">
        <v>78</v>
      </c>
      <c r="D236" s="78" t="s">
        <v>78</v>
      </c>
      <c r="E236" s="78">
        <v>12.1</v>
      </c>
      <c r="F236" s="78">
        <v>11.9</v>
      </c>
      <c r="G236" s="78">
        <v>0</v>
      </c>
      <c r="H236" s="73">
        <v>49</v>
      </c>
      <c r="I236" s="56">
        <v>2016</v>
      </c>
      <c r="J236" s="55" t="s">
        <v>259</v>
      </c>
      <c r="K236" s="83" t="s">
        <v>258</v>
      </c>
      <c r="L236" s="8"/>
    </row>
    <row r="237" spans="1:12" s="12" customFormat="1" ht="42.75" x14ac:dyDescent="0.25">
      <c r="A237" s="44" t="s">
        <v>511</v>
      </c>
      <c r="B237" s="77" t="s">
        <v>78</v>
      </c>
      <c r="C237" s="77" t="s">
        <v>78</v>
      </c>
      <c r="D237" s="77" t="s">
        <v>78</v>
      </c>
      <c r="E237" s="77" t="s">
        <v>78</v>
      </c>
      <c r="F237" s="77" t="s">
        <v>78</v>
      </c>
      <c r="G237" s="77">
        <v>0</v>
      </c>
      <c r="H237" s="74">
        <v>47</v>
      </c>
      <c r="I237" s="45">
        <v>2016</v>
      </c>
      <c r="J237" s="44" t="s">
        <v>259</v>
      </c>
      <c r="K237" s="84" t="s">
        <v>258</v>
      </c>
      <c r="L237" s="8"/>
    </row>
    <row r="238" spans="1:12" s="12" customFormat="1" ht="44.25" customHeight="1" x14ac:dyDescent="0.25">
      <c r="A238" s="55" t="s">
        <v>512</v>
      </c>
      <c r="B238" s="78">
        <v>10.199999999999999</v>
      </c>
      <c r="C238" s="78">
        <v>7.9</v>
      </c>
      <c r="D238" s="78">
        <v>1.3</v>
      </c>
      <c r="E238" s="78">
        <f>24-G238-F238</f>
        <v>0.69999999999999929</v>
      </c>
      <c r="F238" s="78">
        <v>2.5</v>
      </c>
      <c r="G238" s="78">
        <v>20.8</v>
      </c>
      <c r="H238" s="73">
        <f>(B238*E238+C238*F238+D238*G238)*365/1000</f>
        <v>19.684449999999998</v>
      </c>
      <c r="I238" s="56">
        <v>2016</v>
      </c>
      <c r="J238" s="55" t="s">
        <v>499</v>
      </c>
      <c r="K238" s="83" t="s">
        <v>500</v>
      </c>
      <c r="L238" s="8"/>
    </row>
    <row r="239" spans="1:12" s="12" customFormat="1" ht="43.5" customHeight="1" x14ac:dyDescent="0.25">
      <c r="A239" s="44" t="s">
        <v>513</v>
      </c>
      <c r="B239" s="77">
        <v>6</v>
      </c>
      <c r="C239" s="77">
        <v>5</v>
      </c>
      <c r="D239" s="77">
        <v>1</v>
      </c>
      <c r="E239" s="77">
        <v>0.7</v>
      </c>
      <c r="F239" s="77">
        <v>2.5</v>
      </c>
      <c r="G239" s="77">
        <v>20.8</v>
      </c>
      <c r="H239" s="74">
        <f>(B239*E239+C239*F239+D239*G239)*365/1000</f>
        <v>13.6875</v>
      </c>
      <c r="I239" s="45">
        <v>2016</v>
      </c>
      <c r="J239" s="44" t="s">
        <v>499</v>
      </c>
      <c r="K239" s="84" t="s">
        <v>500</v>
      </c>
      <c r="L239" s="8"/>
    </row>
    <row r="240" spans="1:12" s="12" customFormat="1" ht="28.5" x14ac:dyDescent="0.25">
      <c r="A240" s="55" t="s">
        <v>212</v>
      </c>
      <c r="B240" s="78" t="s">
        <v>78</v>
      </c>
      <c r="C240" s="78" t="s">
        <v>78</v>
      </c>
      <c r="D240" s="78" t="s">
        <v>78</v>
      </c>
      <c r="E240" s="78">
        <v>1</v>
      </c>
      <c r="F240" s="78">
        <v>23</v>
      </c>
      <c r="G240" s="78" t="s">
        <v>78</v>
      </c>
      <c r="H240" s="73">
        <v>22</v>
      </c>
      <c r="I240" s="56">
        <v>2015</v>
      </c>
      <c r="J240" s="55" t="s">
        <v>210</v>
      </c>
      <c r="K240" s="57" t="s">
        <v>262</v>
      </c>
      <c r="L240" s="8"/>
    </row>
    <row r="241" spans="1:12" s="12" customFormat="1" ht="28.5" x14ac:dyDescent="0.25">
      <c r="A241" s="44" t="s">
        <v>537</v>
      </c>
      <c r="B241" s="77" t="s">
        <v>78</v>
      </c>
      <c r="C241" s="77" t="s">
        <v>78</v>
      </c>
      <c r="D241" s="77" t="s">
        <v>78</v>
      </c>
      <c r="E241" s="77">
        <v>1</v>
      </c>
      <c r="F241" s="77">
        <v>23</v>
      </c>
      <c r="G241" s="77" t="s">
        <v>78</v>
      </c>
      <c r="H241" s="74">
        <v>47</v>
      </c>
      <c r="I241" s="45">
        <v>2015</v>
      </c>
      <c r="J241" s="44" t="s">
        <v>210</v>
      </c>
      <c r="K241" s="53" t="s">
        <v>262</v>
      </c>
      <c r="L241" s="8"/>
    </row>
    <row r="242" spans="1:12" s="12" customFormat="1" ht="42.75" x14ac:dyDescent="0.25">
      <c r="A242" s="55" t="s">
        <v>148</v>
      </c>
      <c r="B242" s="78">
        <v>37</v>
      </c>
      <c r="C242" s="78">
        <v>33</v>
      </c>
      <c r="D242" s="78">
        <v>1.3</v>
      </c>
      <c r="E242" s="78">
        <f>1580/365</f>
        <v>4.3287671232876717</v>
      </c>
      <c r="F242" s="78">
        <f>730/365</f>
        <v>2</v>
      </c>
      <c r="G242" s="78">
        <f>6450/365</f>
        <v>17.671232876712327</v>
      </c>
      <c r="H242" s="73">
        <f>(G242*D242+F242*C242+E242*B242)*365/1000</f>
        <v>90.935000000000016</v>
      </c>
      <c r="I242" s="56">
        <v>2014</v>
      </c>
      <c r="J242" s="55" t="s">
        <v>113</v>
      </c>
      <c r="K242" s="57" t="s">
        <v>261</v>
      </c>
      <c r="L242" s="8"/>
    </row>
    <row r="243" spans="1:12" s="12" customFormat="1" ht="42.75" x14ac:dyDescent="0.25">
      <c r="A243" s="44" t="s">
        <v>515</v>
      </c>
      <c r="B243" s="77">
        <v>4</v>
      </c>
      <c r="C243" s="77">
        <v>1</v>
      </c>
      <c r="D243" s="77" t="s">
        <v>78</v>
      </c>
      <c r="E243" s="77">
        <v>5</v>
      </c>
      <c r="F243" s="77">
        <v>19</v>
      </c>
      <c r="G243" s="77" t="s">
        <v>78</v>
      </c>
      <c r="H243" s="74">
        <f>(B243*E243+C243*F243)*365/1000</f>
        <v>14.234999999999999</v>
      </c>
      <c r="I243" s="45">
        <v>2016</v>
      </c>
      <c r="J243" s="44" t="s">
        <v>259</v>
      </c>
      <c r="K243" s="84" t="s">
        <v>258</v>
      </c>
      <c r="L243" s="8"/>
    </row>
    <row r="244" spans="1:12" s="12" customFormat="1" ht="72" customHeight="1" x14ac:dyDescent="0.25">
      <c r="A244" s="55" t="s">
        <v>42</v>
      </c>
      <c r="B244" s="78">
        <v>25</v>
      </c>
      <c r="C244" s="78">
        <v>15</v>
      </c>
      <c r="D244" s="78" t="s">
        <v>78</v>
      </c>
      <c r="E244" s="78">
        <v>4</v>
      </c>
      <c r="F244" s="78">
        <v>20</v>
      </c>
      <c r="G244" s="78" t="s">
        <v>78</v>
      </c>
      <c r="H244" s="73">
        <f>(B244*E244+C244*F244)*365/1000</f>
        <v>146</v>
      </c>
      <c r="I244" s="56">
        <v>2014</v>
      </c>
      <c r="J244" s="55" t="s">
        <v>225</v>
      </c>
      <c r="K244" s="83" t="s">
        <v>224</v>
      </c>
      <c r="L244" s="8"/>
    </row>
    <row r="245" spans="1:12" s="12" customFormat="1" ht="42.75" x14ac:dyDescent="0.25">
      <c r="A245" s="44" t="s">
        <v>134</v>
      </c>
      <c r="B245" s="77">
        <v>18.8</v>
      </c>
      <c r="C245" s="77">
        <v>18</v>
      </c>
      <c r="D245" s="77" t="s">
        <v>78</v>
      </c>
      <c r="E245" s="77">
        <v>10.8</v>
      </c>
      <c r="F245" s="77">
        <v>13.2</v>
      </c>
      <c r="G245" s="77">
        <v>0</v>
      </c>
      <c r="H245" s="74">
        <v>161.19999999999999</v>
      </c>
      <c r="I245" s="45">
        <v>2014</v>
      </c>
      <c r="J245" s="44" t="s">
        <v>113</v>
      </c>
      <c r="K245" s="53" t="s">
        <v>261</v>
      </c>
      <c r="L245" s="8"/>
    </row>
    <row r="246" spans="1:12" s="12" customFormat="1" ht="42.75" x14ac:dyDescent="0.25">
      <c r="A246" s="55" t="s">
        <v>133</v>
      </c>
      <c r="B246" s="78">
        <v>14.9</v>
      </c>
      <c r="C246" s="78">
        <v>13.1</v>
      </c>
      <c r="D246" s="78" t="s">
        <v>78</v>
      </c>
      <c r="E246" s="78">
        <v>10.8</v>
      </c>
      <c r="F246" s="78">
        <v>13.2</v>
      </c>
      <c r="G246" s="78">
        <v>0</v>
      </c>
      <c r="H246" s="73">
        <v>122</v>
      </c>
      <c r="I246" s="56">
        <v>2014</v>
      </c>
      <c r="J246" s="55" t="s">
        <v>113</v>
      </c>
      <c r="K246" s="57" t="s">
        <v>261</v>
      </c>
      <c r="L246" s="8"/>
    </row>
    <row r="247" spans="1:12" s="12" customFormat="1" ht="42.75" x14ac:dyDescent="0.25">
      <c r="A247" s="44" t="s">
        <v>514</v>
      </c>
      <c r="B247" s="77">
        <v>23.5</v>
      </c>
      <c r="C247" s="77">
        <v>21.8</v>
      </c>
      <c r="D247" s="77" t="s">
        <v>78</v>
      </c>
      <c r="E247" s="77">
        <v>10.8</v>
      </c>
      <c r="F247" s="77">
        <v>13.2</v>
      </c>
      <c r="G247" s="77">
        <v>0</v>
      </c>
      <c r="H247" s="74">
        <v>197.7</v>
      </c>
      <c r="I247" s="45">
        <v>2014</v>
      </c>
      <c r="J247" s="44" t="s">
        <v>113</v>
      </c>
      <c r="K247" s="53" t="s">
        <v>261</v>
      </c>
      <c r="L247" s="8"/>
    </row>
    <row r="248" spans="1:12" s="12" customFormat="1" ht="42.75" x14ac:dyDescent="0.25">
      <c r="A248" s="55" t="s">
        <v>547</v>
      </c>
      <c r="B248" s="78">
        <v>23.5</v>
      </c>
      <c r="C248" s="78">
        <v>21.8</v>
      </c>
      <c r="D248" s="78" t="s">
        <v>78</v>
      </c>
      <c r="E248" s="78">
        <v>10.8</v>
      </c>
      <c r="F248" s="78">
        <v>13.2</v>
      </c>
      <c r="G248" s="78">
        <v>0</v>
      </c>
      <c r="H248" s="73">
        <v>197.7</v>
      </c>
      <c r="I248" s="56">
        <v>2014</v>
      </c>
      <c r="J248" s="55" t="s">
        <v>113</v>
      </c>
      <c r="K248" s="57" t="s">
        <v>261</v>
      </c>
      <c r="L248" s="8"/>
    </row>
    <row r="249" spans="1:12" s="12" customFormat="1" ht="42.75" x14ac:dyDescent="0.25">
      <c r="A249" s="44" t="s">
        <v>132</v>
      </c>
      <c r="B249" s="77">
        <v>7.9</v>
      </c>
      <c r="C249" s="77">
        <v>6.9</v>
      </c>
      <c r="D249" s="77" t="s">
        <v>78</v>
      </c>
      <c r="E249" s="77">
        <v>10.8</v>
      </c>
      <c r="F249" s="77">
        <v>13.2</v>
      </c>
      <c r="G249" s="77">
        <v>0</v>
      </c>
      <c r="H249" s="74">
        <v>64.099999999999994</v>
      </c>
      <c r="I249" s="45">
        <v>2014</v>
      </c>
      <c r="J249" s="44" t="s">
        <v>113</v>
      </c>
      <c r="K249" s="53" t="s">
        <v>261</v>
      </c>
      <c r="L249" s="8"/>
    </row>
    <row r="250" spans="1:12" s="12" customFormat="1" ht="42.75" x14ac:dyDescent="0.25">
      <c r="A250" s="55" t="s">
        <v>135</v>
      </c>
      <c r="B250" s="78">
        <v>6.6</v>
      </c>
      <c r="C250" s="78">
        <v>5.5</v>
      </c>
      <c r="D250" s="78" t="s">
        <v>78</v>
      </c>
      <c r="E250" s="78">
        <v>10.8</v>
      </c>
      <c r="F250" s="78">
        <v>13.2</v>
      </c>
      <c r="G250" s="78">
        <v>0</v>
      </c>
      <c r="H250" s="73">
        <v>52.5</v>
      </c>
      <c r="I250" s="56">
        <v>2014</v>
      </c>
      <c r="J250" s="55" t="s">
        <v>113</v>
      </c>
      <c r="K250" s="57" t="s">
        <v>261</v>
      </c>
      <c r="L250" s="8"/>
    </row>
    <row r="251" spans="1:12" s="12" customFormat="1" ht="42.75" x14ac:dyDescent="0.25">
      <c r="A251" s="44" t="s">
        <v>156</v>
      </c>
      <c r="B251" s="77">
        <v>30</v>
      </c>
      <c r="C251" s="77">
        <v>12</v>
      </c>
      <c r="D251" s="77">
        <v>4</v>
      </c>
      <c r="E251" s="77">
        <f>1580/365</f>
        <v>4.3287671232876717</v>
      </c>
      <c r="F251" s="77">
        <f>730/365</f>
        <v>2</v>
      </c>
      <c r="G251" s="77">
        <f>6450/365</f>
        <v>17.671232876712327</v>
      </c>
      <c r="H251" s="74">
        <f>(G251*D251+F251*C251+E251*B251)*365/1000</f>
        <v>81.96</v>
      </c>
      <c r="I251" s="45">
        <v>2014</v>
      </c>
      <c r="J251" s="44" t="s">
        <v>113</v>
      </c>
      <c r="K251" s="53" t="s">
        <v>261</v>
      </c>
      <c r="L251" s="8"/>
    </row>
    <row r="252" spans="1:12" s="12" customFormat="1" ht="42.75" x14ac:dyDescent="0.25">
      <c r="A252" s="55" t="s">
        <v>142</v>
      </c>
      <c r="B252" s="78">
        <v>4.7</v>
      </c>
      <c r="C252" s="78">
        <v>2.5</v>
      </c>
      <c r="D252" s="78" t="s">
        <v>78</v>
      </c>
      <c r="E252" s="78">
        <v>21.6</v>
      </c>
      <c r="F252" s="78">
        <v>2.4</v>
      </c>
      <c r="G252" s="78">
        <v>0</v>
      </c>
      <c r="H252" s="73">
        <v>1.6</v>
      </c>
      <c r="I252" s="56">
        <v>2014</v>
      </c>
      <c r="J252" s="55" t="s">
        <v>113</v>
      </c>
      <c r="K252" s="57" t="s">
        <v>261</v>
      </c>
      <c r="L252" s="8"/>
    </row>
    <row r="253" spans="1:12" s="12" customFormat="1" ht="42.75" x14ac:dyDescent="0.25">
      <c r="A253" s="44" t="s">
        <v>143</v>
      </c>
      <c r="B253" s="77">
        <v>33</v>
      </c>
      <c r="C253" s="77">
        <v>30</v>
      </c>
      <c r="D253" s="77" t="s">
        <v>78</v>
      </c>
      <c r="E253" s="77">
        <v>11.5</v>
      </c>
      <c r="F253" s="77">
        <v>12.5</v>
      </c>
      <c r="G253" s="77">
        <v>0</v>
      </c>
      <c r="H253" s="74">
        <v>0.6</v>
      </c>
      <c r="I253" s="45">
        <v>2014</v>
      </c>
      <c r="J253" s="44" t="s">
        <v>113</v>
      </c>
      <c r="K253" s="53" t="s">
        <v>261</v>
      </c>
      <c r="L253" s="8"/>
    </row>
    <row r="254" spans="1:12" s="12" customFormat="1" ht="42.75" x14ac:dyDescent="0.25">
      <c r="A254" s="55" t="s">
        <v>144</v>
      </c>
      <c r="B254" s="78">
        <v>6.5</v>
      </c>
      <c r="C254" s="78">
        <v>0.8</v>
      </c>
      <c r="D254" s="78" t="s">
        <v>78</v>
      </c>
      <c r="E254" s="78">
        <v>10.8</v>
      </c>
      <c r="F254" s="78">
        <v>13.2</v>
      </c>
      <c r="G254" s="78">
        <v>0</v>
      </c>
      <c r="H254" s="73">
        <v>0.4</v>
      </c>
      <c r="I254" s="56">
        <v>2014</v>
      </c>
      <c r="J254" s="55" t="s">
        <v>113</v>
      </c>
      <c r="K254" s="57" t="s">
        <v>261</v>
      </c>
      <c r="L254" s="8"/>
    </row>
    <row r="255" spans="1:12" s="12" customFormat="1" ht="42.75" x14ac:dyDescent="0.25">
      <c r="A255" s="44" t="s">
        <v>138</v>
      </c>
      <c r="B255" s="77">
        <v>17.3</v>
      </c>
      <c r="C255" s="77">
        <v>13.4</v>
      </c>
      <c r="D255" s="77" t="s">
        <v>78</v>
      </c>
      <c r="E255" s="77">
        <v>13.2</v>
      </c>
      <c r="F255" s="77">
        <v>10.8</v>
      </c>
      <c r="G255" s="77">
        <v>0</v>
      </c>
      <c r="H255" s="74">
        <v>136.4</v>
      </c>
      <c r="I255" s="45">
        <v>2014</v>
      </c>
      <c r="J255" s="44" t="s">
        <v>113</v>
      </c>
      <c r="K255" s="53" t="s">
        <v>261</v>
      </c>
      <c r="L255" s="8"/>
    </row>
    <row r="256" spans="1:12" s="12" customFormat="1" ht="42.75" x14ac:dyDescent="0.25">
      <c r="A256" s="55" t="s">
        <v>137</v>
      </c>
      <c r="B256" s="78">
        <v>11.1</v>
      </c>
      <c r="C256" s="78">
        <v>10.199999999999999</v>
      </c>
      <c r="D256" s="78" t="s">
        <v>78</v>
      </c>
      <c r="E256" s="78">
        <v>13.2</v>
      </c>
      <c r="F256" s="78">
        <v>10.8</v>
      </c>
      <c r="G256" s="78">
        <v>0</v>
      </c>
      <c r="H256" s="73">
        <v>94</v>
      </c>
      <c r="I256" s="56">
        <v>2014</v>
      </c>
      <c r="J256" s="55" t="s">
        <v>113</v>
      </c>
      <c r="K256" s="57" t="s">
        <v>261</v>
      </c>
      <c r="L256" s="8"/>
    </row>
    <row r="257" spans="1:12" s="12" customFormat="1" ht="42.75" x14ac:dyDescent="0.25">
      <c r="A257" s="44" t="s">
        <v>140</v>
      </c>
      <c r="B257" s="77">
        <v>15.8</v>
      </c>
      <c r="C257" s="77">
        <v>12.3</v>
      </c>
      <c r="D257" s="77" t="s">
        <v>78</v>
      </c>
      <c r="E257" s="77">
        <v>13.2</v>
      </c>
      <c r="F257" s="77">
        <v>10.8</v>
      </c>
      <c r="G257" s="77">
        <v>0</v>
      </c>
      <c r="H257" s="74">
        <v>124.4</v>
      </c>
      <c r="I257" s="45">
        <v>2014</v>
      </c>
      <c r="J257" s="44" t="s">
        <v>113</v>
      </c>
      <c r="K257" s="53" t="s">
        <v>261</v>
      </c>
      <c r="L257" s="8"/>
    </row>
    <row r="258" spans="1:12" s="12" customFormat="1" ht="42.75" x14ac:dyDescent="0.25">
      <c r="A258" s="55" t="s">
        <v>139</v>
      </c>
      <c r="B258" s="78">
        <v>9.4</v>
      </c>
      <c r="C258" s="78">
        <v>9.1</v>
      </c>
      <c r="D258" s="78" t="s">
        <v>78</v>
      </c>
      <c r="E258" s="78">
        <v>13.2</v>
      </c>
      <c r="F258" s="78">
        <v>10.8</v>
      </c>
      <c r="G258" s="78">
        <v>0</v>
      </c>
      <c r="H258" s="73">
        <v>81.2</v>
      </c>
      <c r="I258" s="56">
        <v>2014</v>
      </c>
      <c r="J258" s="55" t="s">
        <v>113</v>
      </c>
      <c r="K258" s="57" t="s">
        <v>261</v>
      </c>
      <c r="L258" s="8"/>
    </row>
    <row r="259" spans="1:12" s="12" customFormat="1" ht="42.75" x14ac:dyDescent="0.25">
      <c r="A259" s="44" t="s">
        <v>136</v>
      </c>
      <c r="B259" s="77">
        <v>10.3</v>
      </c>
      <c r="C259" s="77">
        <v>10.1</v>
      </c>
      <c r="D259" s="77" t="s">
        <v>78</v>
      </c>
      <c r="E259" s="77">
        <v>13.2</v>
      </c>
      <c r="F259" s="77">
        <v>10.8</v>
      </c>
      <c r="G259" s="77">
        <v>0</v>
      </c>
      <c r="H259" s="74">
        <v>89.6</v>
      </c>
      <c r="I259" s="45">
        <v>2014</v>
      </c>
      <c r="J259" s="44" t="s">
        <v>113</v>
      </c>
      <c r="K259" s="53" t="s">
        <v>261</v>
      </c>
      <c r="L259" s="8"/>
    </row>
    <row r="260" spans="1:12" s="12" customFormat="1" ht="42.75" x14ac:dyDescent="0.25">
      <c r="A260" s="55" t="s">
        <v>141</v>
      </c>
      <c r="B260" s="78">
        <v>9.4</v>
      </c>
      <c r="C260" s="78">
        <v>9.1</v>
      </c>
      <c r="D260" s="78" t="s">
        <v>78</v>
      </c>
      <c r="E260" s="78">
        <v>13.2</v>
      </c>
      <c r="F260" s="78">
        <v>10.8</v>
      </c>
      <c r="G260" s="78">
        <v>0</v>
      </c>
      <c r="H260" s="73">
        <v>81.2</v>
      </c>
      <c r="I260" s="56">
        <v>2014</v>
      </c>
      <c r="J260" s="55" t="s">
        <v>113</v>
      </c>
      <c r="K260" s="57" t="s">
        <v>261</v>
      </c>
      <c r="L260" s="8"/>
    </row>
    <row r="261" spans="1:12" s="12" customFormat="1" ht="42.75" x14ac:dyDescent="0.25">
      <c r="A261" s="44" t="s">
        <v>3</v>
      </c>
      <c r="B261" s="77">
        <v>6.6</v>
      </c>
      <c r="C261" s="77" t="s">
        <v>78</v>
      </c>
      <c r="D261" s="77">
        <v>1.2</v>
      </c>
      <c r="E261" s="77">
        <f>1497/365</f>
        <v>4.1013698630136988</v>
      </c>
      <c r="F261" s="77" t="s">
        <v>78</v>
      </c>
      <c r="G261" s="77">
        <f>7263/365</f>
        <v>19.898630136986302</v>
      </c>
      <c r="H261" s="74">
        <f>(G261*D261+E261*B261)*365/1000</f>
        <v>18.595800000000001</v>
      </c>
      <c r="I261" s="45">
        <v>2014</v>
      </c>
      <c r="J261" s="44" t="s">
        <v>113</v>
      </c>
      <c r="K261" s="53" t="s">
        <v>261</v>
      </c>
      <c r="L261" s="8"/>
    </row>
    <row r="262" spans="1:12" s="12" customFormat="1" x14ac:dyDescent="0.25">
      <c r="A262" s="40" t="s">
        <v>21</v>
      </c>
      <c r="B262" s="86"/>
      <c r="C262" s="86"/>
      <c r="D262" s="86"/>
      <c r="E262" s="86"/>
      <c r="F262" s="86"/>
      <c r="G262" s="86"/>
      <c r="H262" s="87"/>
      <c r="I262" s="66"/>
      <c r="J262" s="46"/>
      <c r="K262" s="54"/>
      <c r="L262" s="8"/>
    </row>
    <row r="263" spans="1:12" s="12" customFormat="1" ht="28.5" x14ac:dyDescent="0.25">
      <c r="A263" s="44" t="s">
        <v>108</v>
      </c>
      <c r="B263" s="77">
        <v>246</v>
      </c>
      <c r="C263" s="77">
        <v>2</v>
      </c>
      <c r="D263" s="77">
        <v>0</v>
      </c>
      <c r="E263" s="77">
        <v>12</v>
      </c>
      <c r="F263" s="77">
        <v>12</v>
      </c>
      <c r="G263" s="77">
        <v>0</v>
      </c>
      <c r="H263" s="74">
        <f>(E263*B263+F263*C263)*365/1000</f>
        <v>1086.24</v>
      </c>
      <c r="I263" s="45">
        <v>2013</v>
      </c>
      <c r="J263" s="44" t="s">
        <v>112</v>
      </c>
      <c r="K263" s="53" t="s">
        <v>106</v>
      </c>
      <c r="L263" s="8"/>
    </row>
    <row r="264" spans="1:12" s="12" customFormat="1" ht="44.25" customHeight="1" x14ac:dyDescent="0.25">
      <c r="A264" s="55" t="s">
        <v>246</v>
      </c>
      <c r="B264" s="78">
        <v>23</v>
      </c>
      <c r="C264" s="78" t="s">
        <v>78</v>
      </c>
      <c r="D264" s="78">
        <v>0.39</v>
      </c>
      <c r="E264" s="78">
        <v>5</v>
      </c>
      <c r="F264" s="78" t="s">
        <v>78</v>
      </c>
      <c r="G264" s="78">
        <f t="shared" ref="G264:G275" si="3">24-E264</f>
        <v>19</v>
      </c>
      <c r="H264" s="73">
        <f t="shared" ref="H264:H285" si="4">(B264*E264+D264*G264)*365/1000</f>
        <v>44.679650000000002</v>
      </c>
      <c r="I264" s="56">
        <v>2017</v>
      </c>
      <c r="J264" s="55" t="s">
        <v>499</v>
      </c>
      <c r="K264" s="83" t="s">
        <v>500</v>
      </c>
      <c r="L264" s="8"/>
    </row>
    <row r="265" spans="1:12" s="12" customFormat="1" ht="43.5" customHeight="1" x14ac:dyDescent="0.25">
      <c r="A265" s="44" t="s">
        <v>248</v>
      </c>
      <c r="B265" s="77">
        <v>15</v>
      </c>
      <c r="C265" s="77" t="s">
        <v>78</v>
      </c>
      <c r="D265" s="77">
        <v>0.32</v>
      </c>
      <c r="E265" s="77">
        <v>5</v>
      </c>
      <c r="F265" s="77" t="s">
        <v>78</v>
      </c>
      <c r="G265" s="77">
        <f t="shared" si="3"/>
        <v>19</v>
      </c>
      <c r="H265" s="74">
        <f t="shared" si="4"/>
        <v>29.594200000000001</v>
      </c>
      <c r="I265" s="45">
        <v>2017</v>
      </c>
      <c r="J265" s="44" t="s">
        <v>499</v>
      </c>
      <c r="K265" s="84" t="s">
        <v>500</v>
      </c>
      <c r="L265" s="8"/>
    </row>
    <row r="266" spans="1:12" s="12" customFormat="1" ht="45" customHeight="1" x14ac:dyDescent="0.25">
      <c r="A266" s="55" t="s">
        <v>516</v>
      </c>
      <c r="B266" s="78">
        <v>25</v>
      </c>
      <c r="C266" s="78" t="s">
        <v>78</v>
      </c>
      <c r="D266" s="78">
        <v>0.35</v>
      </c>
      <c r="E266" s="78">
        <v>5</v>
      </c>
      <c r="F266" s="78" t="s">
        <v>78</v>
      </c>
      <c r="G266" s="78">
        <f t="shared" si="3"/>
        <v>19</v>
      </c>
      <c r="H266" s="73">
        <f t="shared" si="4"/>
        <v>48.052250000000001</v>
      </c>
      <c r="I266" s="56">
        <v>2017</v>
      </c>
      <c r="J266" s="55" t="s">
        <v>499</v>
      </c>
      <c r="K266" s="83" t="s">
        <v>500</v>
      </c>
      <c r="L266" s="8"/>
    </row>
    <row r="267" spans="1:12" s="12" customFormat="1" ht="44.25" customHeight="1" x14ac:dyDescent="0.25">
      <c r="A267" s="44" t="s">
        <v>517</v>
      </c>
      <c r="B267" s="77">
        <v>20</v>
      </c>
      <c r="C267" s="77" t="s">
        <v>78</v>
      </c>
      <c r="D267" s="77">
        <v>0.32</v>
      </c>
      <c r="E267" s="77">
        <v>5</v>
      </c>
      <c r="F267" s="77" t="s">
        <v>78</v>
      </c>
      <c r="G267" s="77">
        <f t="shared" si="3"/>
        <v>19</v>
      </c>
      <c r="H267" s="74">
        <f t="shared" si="4"/>
        <v>38.719199999999994</v>
      </c>
      <c r="I267" s="45">
        <v>2017</v>
      </c>
      <c r="J267" s="44" t="s">
        <v>499</v>
      </c>
      <c r="K267" s="84" t="s">
        <v>500</v>
      </c>
      <c r="L267" s="8"/>
    </row>
    <row r="268" spans="1:12" s="12" customFormat="1" ht="45" customHeight="1" x14ac:dyDescent="0.25">
      <c r="A268" s="55" t="s">
        <v>518</v>
      </c>
      <c r="B268" s="78">
        <v>29</v>
      </c>
      <c r="C268" s="78" t="s">
        <v>78</v>
      </c>
      <c r="D268" s="78">
        <v>0.33</v>
      </c>
      <c r="E268" s="78">
        <v>5</v>
      </c>
      <c r="F268" s="78" t="s">
        <v>78</v>
      </c>
      <c r="G268" s="78">
        <f t="shared" si="3"/>
        <v>19</v>
      </c>
      <c r="H268" s="73">
        <f t="shared" si="4"/>
        <v>55.213550000000005</v>
      </c>
      <c r="I268" s="56">
        <v>2017</v>
      </c>
      <c r="J268" s="55" t="s">
        <v>499</v>
      </c>
      <c r="K268" s="83" t="s">
        <v>500</v>
      </c>
      <c r="L268" s="8"/>
    </row>
    <row r="269" spans="1:12" s="12" customFormat="1" ht="44.25" customHeight="1" x14ac:dyDescent="0.25">
      <c r="A269" s="44" t="s">
        <v>519</v>
      </c>
      <c r="B269" s="77">
        <v>21</v>
      </c>
      <c r="C269" s="77" t="s">
        <v>78</v>
      </c>
      <c r="D269" s="77">
        <v>0.32</v>
      </c>
      <c r="E269" s="77">
        <v>5</v>
      </c>
      <c r="F269" s="77" t="s">
        <v>78</v>
      </c>
      <c r="G269" s="77">
        <f t="shared" si="3"/>
        <v>19</v>
      </c>
      <c r="H269" s="74">
        <f t="shared" si="4"/>
        <v>40.544199999999996</v>
      </c>
      <c r="I269" s="45">
        <v>2017</v>
      </c>
      <c r="J269" s="44" t="s">
        <v>499</v>
      </c>
      <c r="K269" s="84" t="s">
        <v>500</v>
      </c>
      <c r="L269" s="8"/>
    </row>
    <row r="270" spans="1:12" s="12" customFormat="1" ht="44.25" customHeight="1" x14ac:dyDescent="0.25">
      <c r="A270" s="55" t="s">
        <v>520</v>
      </c>
      <c r="B270" s="78">
        <v>35</v>
      </c>
      <c r="C270" s="78" t="s">
        <v>78</v>
      </c>
      <c r="D270" s="78">
        <v>0.32</v>
      </c>
      <c r="E270" s="78">
        <v>5</v>
      </c>
      <c r="F270" s="78" t="s">
        <v>78</v>
      </c>
      <c r="G270" s="78">
        <f t="shared" si="3"/>
        <v>19</v>
      </c>
      <c r="H270" s="73">
        <f t="shared" si="4"/>
        <v>66.094200000000015</v>
      </c>
      <c r="I270" s="56">
        <v>2017</v>
      </c>
      <c r="J270" s="55" t="s">
        <v>499</v>
      </c>
      <c r="K270" s="83" t="s">
        <v>500</v>
      </c>
      <c r="L270" s="8"/>
    </row>
    <row r="271" spans="1:12" s="12" customFormat="1" ht="44.25" customHeight="1" x14ac:dyDescent="0.25">
      <c r="A271" s="44" t="s">
        <v>521</v>
      </c>
      <c r="B271" s="77">
        <v>26</v>
      </c>
      <c r="C271" s="77" t="s">
        <v>78</v>
      </c>
      <c r="D271" s="77">
        <v>0.3</v>
      </c>
      <c r="E271" s="77">
        <v>5</v>
      </c>
      <c r="F271" s="77" t="s">
        <v>78</v>
      </c>
      <c r="G271" s="77">
        <f t="shared" si="3"/>
        <v>19</v>
      </c>
      <c r="H271" s="74">
        <f t="shared" si="4"/>
        <v>49.530499999999989</v>
      </c>
      <c r="I271" s="45">
        <v>2017</v>
      </c>
      <c r="J271" s="44" t="s">
        <v>499</v>
      </c>
      <c r="K271" s="84" t="s">
        <v>500</v>
      </c>
      <c r="L271" s="8"/>
    </row>
    <row r="272" spans="1:12" s="12" customFormat="1" ht="45" customHeight="1" x14ac:dyDescent="0.25">
      <c r="A272" s="55" t="s">
        <v>522</v>
      </c>
      <c r="B272" s="78">
        <v>46</v>
      </c>
      <c r="C272" s="78" t="s">
        <v>78</v>
      </c>
      <c r="D272" s="78">
        <v>0.34</v>
      </c>
      <c r="E272" s="78">
        <v>5</v>
      </c>
      <c r="F272" s="78" t="s">
        <v>78</v>
      </c>
      <c r="G272" s="78">
        <f t="shared" si="3"/>
        <v>19</v>
      </c>
      <c r="H272" s="73">
        <f t="shared" si="4"/>
        <v>86.307900000000004</v>
      </c>
      <c r="I272" s="56">
        <v>2017</v>
      </c>
      <c r="J272" s="55" t="s">
        <v>499</v>
      </c>
      <c r="K272" s="83" t="s">
        <v>500</v>
      </c>
      <c r="L272" s="8"/>
    </row>
    <row r="273" spans="1:12" s="12" customFormat="1" ht="43.5" customHeight="1" x14ac:dyDescent="0.25">
      <c r="A273" s="44" t="s">
        <v>523</v>
      </c>
      <c r="B273" s="77">
        <v>33</v>
      </c>
      <c r="C273" s="77" t="s">
        <v>78</v>
      </c>
      <c r="D273" s="77">
        <v>0.3</v>
      </c>
      <c r="E273" s="77">
        <v>5</v>
      </c>
      <c r="F273" s="77" t="s">
        <v>78</v>
      </c>
      <c r="G273" s="77">
        <f t="shared" si="3"/>
        <v>19</v>
      </c>
      <c r="H273" s="74">
        <f t="shared" si="4"/>
        <v>62.305499999999995</v>
      </c>
      <c r="I273" s="45">
        <v>2017</v>
      </c>
      <c r="J273" s="44" t="s">
        <v>499</v>
      </c>
      <c r="K273" s="84" t="s">
        <v>500</v>
      </c>
      <c r="L273" s="8"/>
    </row>
    <row r="274" spans="1:12" s="12" customFormat="1" ht="45" customHeight="1" x14ac:dyDescent="0.25">
      <c r="A274" s="55" t="s">
        <v>524</v>
      </c>
      <c r="B274" s="78">
        <v>54</v>
      </c>
      <c r="C274" s="78" t="s">
        <v>78</v>
      </c>
      <c r="D274" s="78">
        <v>0.33</v>
      </c>
      <c r="E274" s="78">
        <v>5</v>
      </c>
      <c r="F274" s="78" t="s">
        <v>78</v>
      </c>
      <c r="G274" s="78">
        <f t="shared" si="3"/>
        <v>19</v>
      </c>
      <c r="H274" s="73">
        <f t="shared" si="4"/>
        <v>100.83854999999998</v>
      </c>
      <c r="I274" s="56">
        <v>2017</v>
      </c>
      <c r="J274" s="55" t="s">
        <v>499</v>
      </c>
      <c r="K274" s="83" t="s">
        <v>500</v>
      </c>
      <c r="L274" s="8"/>
    </row>
    <row r="275" spans="1:12" s="12" customFormat="1" ht="43.5" customHeight="1" x14ac:dyDescent="0.25">
      <c r="A275" s="44" t="s">
        <v>525</v>
      </c>
      <c r="B275" s="77">
        <v>37</v>
      </c>
      <c r="C275" s="77" t="s">
        <v>78</v>
      </c>
      <c r="D275" s="77">
        <v>0.32</v>
      </c>
      <c r="E275" s="77">
        <v>5</v>
      </c>
      <c r="F275" s="77" t="s">
        <v>78</v>
      </c>
      <c r="G275" s="77">
        <f t="shared" si="3"/>
        <v>19</v>
      </c>
      <c r="H275" s="74">
        <f t="shared" si="4"/>
        <v>69.744200000000006</v>
      </c>
      <c r="I275" s="45">
        <v>2017</v>
      </c>
      <c r="J275" s="44" t="s">
        <v>499</v>
      </c>
      <c r="K275" s="84" t="s">
        <v>500</v>
      </c>
      <c r="L275" s="8"/>
    </row>
    <row r="276" spans="1:12" s="12" customFormat="1" ht="45" customHeight="1" x14ac:dyDescent="0.25">
      <c r="A276" s="55" t="s">
        <v>526</v>
      </c>
      <c r="B276" s="78">
        <v>69</v>
      </c>
      <c r="C276" s="78" t="s">
        <v>78</v>
      </c>
      <c r="D276" s="78">
        <v>0.31</v>
      </c>
      <c r="E276" s="78">
        <v>5</v>
      </c>
      <c r="F276" s="78" t="s">
        <v>78</v>
      </c>
      <c r="G276" s="78">
        <v>19</v>
      </c>
      <c r="H276" s="73">
        <f t="shared" si="4"/>
        <v>128.07485</v>
      </c>
      <c r="I276" s="56">
        <v>2017</v>
      </c>
      <c r="J276" s="55" t="s">
        <v>499</v>
      </c>
      <c r="K276" s="83" t="s">
        <v>500</v>
      </c>
      <c r="L276" s="8"/>
    </row>
    <row r="277" spans="1:12" s="12" customFormat="1" ht="42.75" customHeight="1" x14ac:dyDescent="0.25">
      <c r="A277" s="44" t="s">
        <v>527</v>
      </c>
      <c r="B277" s="77">
        <v>45</v>
      </c>
      <c r="C277" s="77" t="s">
        <v>78</v>
      </c>
      <c r="D277" s="77">
        <v>0.3</v>
      </c>
      <c r="E277" s="77">
        <v>5</v>
      </c>
      <c r="F277" s="77" t="s">
        <v>78</v>
      </c>
      <c r="G277" s="77">
        <v>19</v>
      </c>
      <c r="H277" s="74">
        <f t="shared" si="4"/>
        <v>84.205500000000001</v>
      </c>
      <c r="I277" s="45">
        <v>2017</v>
      </c>
      <c r="J277" s="44" t="s">
        <v>499</v>
      </c>
      <c r="K277" s="84" t="s">
        <v>500</v>
      </c>
      <c r="L277" s="8"/>
    </row>
    <row r="278" spans="1:12" s="12" customFormat="1" ht="45" customHeight="1" x14ac:dyDescent="0.25">
      <c r="A278" s="55" t="s">
        <v>528</v>
      </c>
      <c r="B278" s="78">
        <v>74</v>
      </c>
      <c r="C278" s="78" t="s">
        <v>78</v>
      </c>
      <c r="D278" s="78">
        <v>0.3</v>
      </c>
      <c r="E278" s="78">
        <v>5</v>
      </c>
      <c r="F278" s="78" t="s">
        <v>78</v>
      </c>
      <c r="G278" s="78">
        <v>19</v>
      </c>
      <c r="H278" s="73">
        <f t="shared" si="4"/>
        <v>137.13050000000001</v>
      </c>
      <c r="I278" s="56">
        <v>2017</v>
      </c>
      <c r="J278" s="55" t="s">
        <v>499</v>
      </c>
      <c r="K278" s="83" t="s">
        <v>500</v>
      </c>
      <c r="L278" s="8"/>
    </row>
    <row r="279" spans="1:12" s="12" customFormat="1" ht="44.25" customHeight="1" x14ac:dyDescent="0.25">
      <c r="A279" s="44" t="s">
        <v>529</v>
      </c>
      <c r="B279" s="77">
        <v>52</v>
      </c>
      <c r="C279" s="77" t="s">
        <v>78</v>
      </c>
      <c r="D279" s="77">
        <v>0.31</v>
      </c>
      <c r="E279" s="77">
        <v>5</v>
      </c>
      <c r="F279" s="77" t="s">
        <v>78</v>
      </c>
      <c r="G279" s="77">
        <v>19</v>
      </c>
      <c r="H279" s="74">
        <f t="shared" si="4"/>
        <v>97.049849999999992</v>
      </c>
      <c r="I279" s="45">
        <v>2017</v>
      </c>
      <c r="J279" s="44" t="s">
        <v>499</v>
      </c>
      <c r="K279" s="84" t="s">
        <v>500</v>
      </c>
      <c r="L279" s="8"/>
    </row>
    <row r="280" spans="1:12" s="12" customFormat="1" ht="44.25" customHeight="1" x14ac:dyDescent="0.25">
      <c r="A280" s="55" t="s">
        <v>530</v>
      </c>
      <c r="B280" s="78">
        <v>87</v>
      </c>
      <c r="C280" s="78" t="s">
        <v>78</v>
      </c>
      <c r="D280" s="78">
        <v>0.3</v>
      </c>
      <c r="E280" s="78">
        <v>5</v>
      </c>
      <c r="F280" s="78" t="s">
        <v>78</v>
      </c>
      <c r="G280" s="78">
        <v>19</v>
      </c>
      <c r="H280" s="73">
        <f t="shared" si="4"/>
        <v>160.85550000000001</v>
      </c>
      <c r="I280" s="56">
        <v>2017</v>
      </c>
      <c r="J280" s="55" t="s">
        <v>499</v>
      </c>
      <c r="K280" s="83" t="s">
        <v>500</v>
      </c>
      <c r="L280" s="8"/>
    </row>
    <row r="281" spans="1:12" s="12" customFormat="1" ht="43.5" customHeight="1" x14ac:dyDescent="0.25">
      <c r="A281" s="44" t="s">
        <v>531</v>
      </c>
      <c r="B281" s="77">
        <v>57</v>
      </c>
      <c r="C281" s="77" t="s">
        <v>78</v>
      </c>
      <c r="D281" s="77">
        <v>0.25</v>
      </c>
      <c r="E281" s="77">
        <v>5</v>
      </c>
      <c r="F281" s="77" t="s">
        <v>78</v>
      </c>
      <c r="G281" s="77">
        <v>19</v>
      </c>
      <c r="H281" s="74">
        <f t="shared" si="4"/>
        <v>105.75875000000001</v>
      </c>
      <c r="I281" s="45">
        <v>2017</v>
      </c>
      <c r="J281" s="44" t="s">
        <v>499</v>
      </c>
      <c r="K281" s="84" t="s">
        <v>500</v>
      </c>
      <c r="L281" s="8"/>
    </row>
    <row r="282" spans="1:12" s="12" customFormat="1" ht="44.25" customHeight="1" x14ac:dyDescent="0.25">
      <c r="A282" s="55" t="s">
        <v>532</v>
      </c>
      <c r="B282" s="78">
        <v>88</v>
      </c>
      <c r="C282" s="78" t="s">
        <v>78</v>
      </c>
      <c r="D282" s="78">
        <v>0.31</v>
      </c>
      <c r="E282" s="78">
        <v>5</v>
      </c>
      <c r="F282" s="78" t="s">
        <v>78</v>
      </c>
      <c r="G282" s="78">
        <v>19</v>
      </c>
      <c r="H282" s="73">
        <f t="shared" si="4"/>
        <v>162.74985000000001</v>
      </c>
      <c r="I282" s="56">
        <v>2017</v>
      </c>
      <c r="J282" s="55" t="s">
        <v>499</v>
      </c>
      <c r="K282" s="83" t="s">
        <v>500</v>
      </c>
      <c r="L282" s="8"/>
    </row>
    <row r="283" spans="1:12" s="12" customFormat="1" ht="43.5" customHeight="1" x14ac:dyDescent="0.25">
      <c r="A283" s="44" t="s">
        <v>533</v>
      </c>
      <c r="B283" s="77">
        <v>66</v>
      </c>
      <c r="C283" s="77" t="s">
        <v>78</v>
      </c>
      <c r="D283" s="77">
        <v>0.28000000000000003</v>
      </c>
      <c r="E283" s="77">
        <v>5</v>
      </c>
      <c r="F283" s="77" t="s">
        <v>78</v>
      </c>
      <c r="G283" s="77">
        <v>19</v>
      </c>
      <c r="H283" s="74">
        <f t="shared" si="4"/>
        <v>122.3918</v>
      </c>
      <c r="I283" s="45">
        <v>2017</v>
      </c>
      <c r="J283" s="44" t="s">
        <v>499</v>
      </c>
      <c r="K283" s="84" t="s">
        <v>500</v>
      </c>
      <c r="L283" s="8"/>
    </row>
    <row r="284" spans="1:12" s="12" customFormat="1" ht="44.25" customHeight="1" x14ac:dyDescent="0.25">
      <c r="A284" s="55" t="s">
        <v>247</v>
      </c>
      <c r="B284" s="78">
        <v>160</v>
      </c>
      <c r="C284" s="78" t="s">
        <v>78</v>
      </c>
      <c r="D284" s="78">
        <v>0.33</v>
      </c>
      <c r="E284" s="78">
        <v>5</v>
      </c>
      <c r="F284" s="78" t="s">
        <v>78</v>
      </c>
      <c r="G284" s="78">
        <v>19</v>
      </c>
      <c r="H284" s="73">
        <f t="shared" si="4"/>
        <v>294.28854999999999</v>
      </c>
      <c r="I284" s="56">
        <v>2017</v>
      </c>
      <c r="J284" s="55" t="s">
        <v>499</v>
      </c>
      <c r="K284" s="83" t="s">
        <v>500</v>
      </c>
      <c r="L284" s="8"/>
    </row>
    <row r="285" spans="1:12" s="12" customFormat="1" ht="42.75" customHeight="1" x14ac:dyDescent="0.25">
      <c r="A285" s="44" t="s">
        <v>249</v>
      </c>
      <c r="B285" s="77">
        <v>74</v>
      </c>
      <c r="C285" s="77" t="s">
        <v>78</v>
      </c>
      <c r="D285" s="77">
        <v>0.24</v>
      </c>
      <c r="E285" s="77">
        <v>5</v>
      </c>
      <c r="F285" s="77" t="s">
        <v>78</v>
      </c>
      <c r="G285" s="77">
        <v>19</v>
      </c>
      <c r="H285" s="74">
        <f t="shared" si="4"/>
        <v>136.71439999999998</v>
      </c>
      <c r="I285" s="45">
        <v>2017</v>
      </c>
      <c r="J285" s="44" t="s">
        <v>499</v>
      </c>
      <c r="K285" s="84" t="s">
        <v>500</v>
      </c>
      <c r="L285" s="8"/>
    </row>
    <row r="286" spans="1:12" s="12" customFormat="1" x14ac:dyDescent="0.25">
      <c r="A286" s="40" t="s">
        <v>548</v>
      </c>
      <c r="B286" s="86"/>
      <c r="C286" s="86"/>
      <c r="D286" s="86"/>
      <c r="E286" s="86"/>
      <c r="F286" s="86"/>
      <c r="G286" s="86"/>
      <c r="H286" s="87"/>
      <c r="I286" s="66"/>
      <c r="J286" s="46"/>
      <c r="K286" s="54"/>
      <c r="L286" s="8"/>
    </row>
    <row r="287" spans="1:12" s="12" customFormat="1" ht="85.5" x14ac:dyDescent="0.25">
      <c r="A287" s="44" t="s">
        <v>55</v>
      </c>
      <c r="B287" s="77">
        <v>64</v>
      </c>
      <c r="C287" s="77">
        <v>59.9</v>
      </c>
      <c r="D287" s="77">
        <v>1.7</v>
      </c>
      <c r="E287" s="77">
        <v>5.75</v>
      </c>
      <c r="F287" s="77">
        <v>18.25</v>
      </c>
      <c r="G287" s="77" t="s">
        <v>78</v>
      </c>
      <c r="H287" s="74">
        <v>533.32887500000004</v>
      </c>
      <c r="I287" s="45">
        <v>2014</v>
      </c>
      <c r="J287" s="44" t="s">
        <v>539</v>
      </c>
      <c r="K287" s="84" t="s">
        <v>232</v>
      </c>
      <c r="L287" s="8"/>
    </row>
    <row r="288" spans="1:12" s="12" customFormat="1" ht="85.5" x14ac:dyDescent="0.25">
      <c r="A288" s="55" t="s">
        <v>43</v>
      </c>
      <c r="B288" s="78">
        <v>64</v>
      </c>
      <c r="C288" s="78">
        <v>59.9</v>
      </c>
      <c r="D288" s="78">
        <v>1.7</v>
      </c>
      <c r="E288" s="78">
        <v>5.75</v>
      </c>
      <c r="F288" s="78" t="s">
        <v>78</v>
      </c>
      <c r="G288" s="78">
        <v>18.25</v>
      </c>
      <c r="H288" s="73">
        <v>145.79925</v>
      </c>
      <c r="I288" s="56">
        <v>2014</v>
      </c>
      <c r="J288" s="55" t="s">
        <v>539</v>
      </c>
      <c r="K288" s="83" t="s">
        <v>233</v>
      </c>
      <c r="L288" s="8"/>
    </row>
    <row r="289" spans="1:12" s="12" customFormat="1" ht="85.5" x14ac:dyDescent="0.25">
      <c r="A289" s="44" t="s">
        <v>538</v>
      </c>
      <c r="B289" s="77">
        <v>64</v>
      </c>
      <c r="C289" s="77">
        <v>59.9</v>
      </c>
      <c r="D289" s="77">
        <v>1.7</v>
      </c>
      <c r="E289" s="77">
        <v>5.75</v>
      </c>
      <c r="F289" s="77" t="s">
        <v>78</v>
      </c>
      <c r="G289" s="77">
        <v>18.25</v>
      </c>
      <c r="H289" s="74">
        <f>(B289*E289+D289*G289)*365/1000</f>
        <v>145.644125</v>
      </c>
      <c r="I289" s="45">
        <v>2014</v>
      </c>
      <c r="J289" s="44" t="s">
        <v>539</v>
      </c>
      <c r="K289" s="84" t="s">
        <v>233</v>
      </c>
      <c r="L289" s="8"/>
    </row>
    <row r="290" spans="1:12" s="12" customFormat="1" ht="85.5" x14ac:dyDescent="0.25">
      <c r="A290" s="55" t="s">
        <v>234</v>
      </c>
      <c r="B290" s="78">
        <v>170</v>
      </c>
      <c r="C290" s="78">
        <v>162</v>
      </c>
      <c r="D290" s="78">
        <v>2.5</v>
      </c>
      <c r="E290" s="78">
        <v>5.75</v>
      </c>
      <c r="F290" s="78">
        <v>18.25</v>
      </c>
      <c r="G290" s="78" t="s">
        <v>78</v>
      </c>
      <c r="H290" s="73">
        <f>(B290*E290+C290*F290)*365/1000</f>
        <v>1435.91</v>
      </c>
      <c r="I290" s="56">
        <v>2014</v>
      </c>
      <c r="J290" s="55" t="s">
        <v>539</v>
      </c>
      <c r="K290" s="83" t="s">
        <v>233</v>
      </c>
      <c r="L290" s="8"/>
    </row>
    <row r="291" spans="1:12" s="12" customFormat="1" ht="42.75" x14ac:dyDescent="0.25">
      <c r="A291" s="44" t="s">
        <v>185</v>
      </c>
      <c r="B291" s="77">
        <v>64</v>
      </c>
      <c r="C291" s="77">
        <v>60</v>
      </c>
      <c r="D291" s="77">
        <v>1.7</v>
      </c>
      <c r="E291" s="77">
        <f>183/365</f>
        <v>0.50136986301369868</v>
      </c>
      <c r="F291" s="77">
        <f>2154/365</f>
        <v>5.9013698630136986</v>
      </c>
      <c r="G291" s="77">
        <f>6424/365</f>
        <v>17.600000000000001</v>
      </c>
      <c r="H291" s="74">
        <f>(G291*D291+F291*C291+E291*B291)*365/1000</f>
        <v>151.87279999999998</v>
      </c>
      <c r="I291" s="45">
        <v>2014</v>
      </c>
      <c r="J291" s="44" t="s">
        <v>113</v>
      </c>
      <c r="K291" s="84" t="s">
        <v>260</v>
      </c>
      <c r="L291" s="8"/>
    </row>
    <row r="292" spans="1:12" s="12" customFormat="1" ht="85.5" x14ac:dyDescent="0.25">
      <c r="A292" s="55" t="s">
        <v>56</v>
      </c>
      <c r="B292" s="78">
        <v>118.8</v>
      </c>
      <c r="C292" s="78">
        <v>117.5</v>
      </c>
      <c r="D292" s="78">
        <v>3.1</v>
      </c>
      <c r="E292" s="78">
        <v>5.75</v>
      </c>
      <c r="F292" s="78">
        <v>18.25</v>
      </c>
      <c r="G292" s="78" t="s">
        <v>78</v>
      </c>
      <c r="H292" s="73">
        <v>1032.0283750000001</v>
      </c>
      <c r="I292" s="56">
        <v>2014</v>
      </c>
      <c r="J292" s="55" t="s">
        <v>539</v>
      </c>
      <c r="K292" s="83" t="s">
        <v>233</v>
      </c>
      <c r="L292" s="8"/>
    </row>
    <row r="293" spans="1:12" s="12" customFormat="1" ht="85.5" x14ac:dyDescent="0.25">
      <c r="A293" s="44" t="s">
        <v>44</v>
      </c>
      <c r="B293" s="77">
        <v>118.8</v>
      </c>
      <c r="C293" s="77">
        <v>117.5</v>
      </c>
      <c r="D293" s="77">
        <v>3.1</v>
      </c>
      <c r="E293" s="77">
        <v>5.75</v>
      </c>
      <c r="F293" s="77" t="s">
        <v>78</v>
      </c>
      <c r="G293" s="77">
        <v>18.25</v>
      </c>
      <c r="H293" s="74">
        <v>270</v>
      </c>
      <c r="I293" s="45">
        <v>2014</v>
      </c>
      <c r="J293" s="44" t="s">
        <v>539</v>
      </c>
      <c r="K293" s="53" t="s">
        <v>233</v>
      </c>
      <c r="L293" s="8"/>
    </row>
    <row r="294" spans="1:12" s="12" customFormat="1" ht="85.5" x14ac:dyDescent="0.25">
      <c r="A294" s="55" t="s">
        <v>57</v>
      </c>
      <c r="B294" s="78">
        <v>87.9</v>
      </c>
      <c r="C294" s="78">
        <v>70</v>
      </c>
      <c r="D294" s="78">
        <v>1.5</v>
      </c>
      <c r="E294" s="78">
        <v>5.75</v>
      </c>
      <c r="F294" s="78">
        <v>18.25</v>
      </c>
      <c r="G294" s="78" t="s">
        <v>78</v>
      </c>
      <c r="H294" s="73">
        <f>(B294*E294+C294*F294)*365/1000</f>
        <v>650.76762499999995</v>
      </c>
      <c r="I294" s="56">
        <v>2014</v>
      </c>
      <c r="J294" s="55" t="s">
        <v>539</v>
      </c>
      <c r="K294" s="83" t="s">
        <v>233</v>
      </c>
      <c r="L294" s="8"/>
    </row>
    <row r="295" spans="1:12" s="12" customFormat="1" ht="85.5" x14ac:dyDescent="0.25">
      <c r="A295" s="44" t="s">
        <v>45</v>
      </c>
      <c r="B295" s="77">
        <v>87.9</v>
      </c>
      <c r="C295" s="77">
        <v>70</v>
      </c>
      <c r="D295" s="77">
        <v>1.5</v>
      </c>
      <c r="E295" s="77">
        <v>5.75</v>
      </c>
      <c r="F295" s="77" t="s">
        <v>78</v>
      </c>
      <c r="G295" s="77">
        <v>18.25</v>
      </c>
      <c r="H295" s="74">
        <f>(B295*E295+D295*G295)*365/1000</f>
        <v>194.47199999999998</v>
      </c>
      <c r="I295" s="45">
        <v>2014</v>
      </c>
      <c r="J295" s="44" t="s">
        <v>539</v>
      </c>
      <c r="K295" s="84" t="s">
        <v>233</v>
      </c>
      <c r="L295" s="8"/>
    </row>
    <row r="296" spans="1:12" s="12" customFormat="1" ht="42.75" x14ac:dyDescent="0.25">
      <c r="A296" s="55" t="s">
        <v>179</v>
      </c>
      <c r="B296" s="78">
        <f>121*402/548+97*146/548</f>
        <v>114.6058394160584</v>
      </c>
      <c r="C296" s="78">
        <v>97</v>
      </c>
      <c r="D296" s="78">
        <v>1.8</v>
      </c>
      <c r="E296" s="78">
        <f>548/365</f>
        <v>1.5013698630136987</v>
      </c>
      <c r="F296" s="78">
        <f>693/365</f>
        <v>1.8986301369863015</v>
      </c>
      <c r="G296" s="78">
        <f>7519/365</f>
        <v>20.6</v>
      </c>
      <c r="H296" s="73">
        <f>(G296*D296+F296*C296+E296*B296)*365/1000</f>
        <v>143.5592</v>
      </c>
      <c r="I296" s="56">
        <v>2014</v>
      </c>
      <c r="J296" s="55" t="s">
        <v>113</v>
      </c>
      <c r="K296" s="83" t="s">
        <v>260</v>
      </c>
      <c r="L296" s="8"/>
    </row>
    <row r="297" spans="1:12" s="12" customFormat="1" ht="42.75" x14ac:dyDescent="0.25">
      <c r="A297" s="44" t="s">
        <v>180</v>
      </c>
      <c r="B297" s="77">
        <f>86*365/(365+146+37)+67*(146+37)/(365+146+37)</f>
        <v>79.6551094890511</v>
      </c>
      <c r="C297" s="77">
        <v>67</v>
      </c>
      <c r="D297" s="77">
        <v>0.4</v>
      </c>
      <c r="E297" s="77">
        <f>(365+146+37)/365</f>
        <v>1.5013698630136987</v>
      </c>
      <c r="F297" s="77">
        <f>693/365</f>
        <v>1.8986301369863015</v>
      </c>
      <c r="G297" s="77">
        <f>7519/365</f>
        <v>20.6</v>
      </c>
      <c r="H297" s="74">
        <f>(G297*D297+F297*C297+E297*B297)*365/1000</f>
        <v>93.089600000000004</v>
      </c>
      <c r="I297" s="45">
        <v>2014</v>
      </c>
      <c r="J297" s="44" t="s">
        <v>113</v>
      </c>
      <c r="K297" s="84" t="s">
        <v>260</v>
      </c>
      <c r="L297" s="8"/>
    </row>
    <row r="298" spans="1:12" s="12" customFormat="1" ht="30.75" customHeight="1" x14ac:dyDescent="0.25">
      <c r="A298" s="55" t="s">
        <v>204</v>
      </c>
      <c r="B298" s="78">
        <v>115</v>
      </c>
      <c r="C298" s="78">
        <v>18</v>
      </c>
      <c r="D298" s="78">
        <v>1.3</v>
      </c>
      <c r="E298" s="78">
        <v>5.75</v>
      </c>
      <c r="F298" s="78">
        <v>18.2</v>
      </c>
      <c r="G298" s="78">
        <v>0</v>
      </c>
      <c r="H298" s="73">
        <f>(E298*B298+F298*C298)*365/1000</f>
        <v>360.93024999999994</v>
      </c>
      <c r="I298" s="56">
        <v>2014</v>
      </c>
      <c r="J298" s="55" t="s">
        <v>205</v>
      </c>
      <c r="K298" s="83" t="s">
        <v>206</v>
      </c>
      <c r="L298" s="8"/>
    </row>
    <row r="299" spans="1:12" s="12" customFormat="1" ht="85.5" x14ac:dyDescent="0.25">
      <c r="A299" s="44" t="s">
        <v>58</v>
      </c>
      <c r="B299" s="77">
        <v>7.3</v>
      </c>
      <c r="C299" s="77">
        <v>7.8</v>
      </c>
      <c r="D299" s="77">
        <v>1.1000000000000001</v>
      </c>
      <c r="E299" s="77">
        <v>5.75</v>
      </c>
      <c r="F299" s="77">
        <v>18.25</v>
      </c>
      <c r="G299" s="77" t="s">
        <v>78</v>
      </c>
      <c r="H299" s="74">
        <v>67.278625000000005</v>
      </c>
      <c r="I299" s="45">
        <v>2014</v>
      </c>
      <c r="J299" s="44" t="s">
        <v>539</v>
      </c>
      <c r="K299" s="84" t="s">
        <v>237</v>
      </c>
      <c r="L299" s="8"/>
    </row>
    <row r="300" spans="1:12" s="12" customFormat="1" ht="85.5" x14ac:dyDescent="0.25">
      <c r="A300" s="55" t="s">
        <v>46</v>
      </c>
      <c r="B300" s="78">
        <v>7.3</v>
      </c>
      <c r="C300" s="78">
        <v>7.8</v>
      </c>
      <c r="D300" s="78">
        <v>1.1000000000000001</v>
      </c>
      <c r="E300" s="78">
        <v>5.75</v>
      </c>
      <c r="F300" s="78" t="s">
        <v>78</v>
      </c>
      <c r="G300" s="78">
        <v>18.25</v>
      </c>
      <c r="H300" s="73">
        <v>22.648624999999999</v>
      </c>
      <c r="I300" s="56">
        <v>2014</v>
      </c>
      <c r="J300" s="55" t="s">
        <v>539</v>
      </c>
      <c r="K300" s="83" t="s">
        <v>237</v>
      </c>
      <c r="L300" s="8"/>
    </row>
    <row r="301" spans="1:12" s="12" customFormat="1" ht="85.5" x14ac:dyDescent="0.25">
      <c r="A301" s="44" t="s">
        <v>59</v>
      </c>
      <c r="B301" s="77">
        <v>23</v>
      </c>
      <c r="C301" s="77">
        <v>22.7</v>
      </c>
      <c r="D301" s="77">
        <v>0.7</v>
      </c>
      <c r="E301" s="77">
        <v>5.75</v>
      </c>
      <c r="F301" s="77">
        <v>18.25</v>
      </c>
      <c r="G301" s="77" t="s">
        <v>78</v>
      </c>
      <c r="H301" s="74">
        <v>199.48162500000001</v>
      </c>
      <c r="I301" s="45">
        <v>2014</v>
      </c>
      <c r="J301" s="44" t="s">
        <v>539</v>
      </c>
      <c r="K301" s="84" t="s">
        <v>237</v>
      </c>
      <c r="L301" s="8"/>
    </row>
    <row r="302" spans="1:12" s="12" customFormat="1" ht="85.5" x14ac:dyDescent="0.25">
      <c r="A302" s="55" t="s">
        <v>47</v>
      </c>
      <c r="B302" s="78">
        <v>23</v>
      </c>
      <c r="C302" s="78">
        <v>22.7</v>
      </c>
      <c r="D302" s="78">
        <v>0.7</v>
      </c>
      <c r="E302" s="78">
        <v>5.75</v>
      </c>
      <c r="F302" s="78" t="s">
        <v>78</v>
      </c>
      <c r="G302" s="78">
        <v>18.25</v>
      </c>
      <c r="H302" s="73">
        <v>52.9</v>
      </c>
      <c r="I302" s="56">
        <v>2014</v>
      </c>
      <c r="J302" s="55" t="s">
        <v>539</v>
      </c>
      <c r="K302" s="83" t="s">
        <v>237</v>
      </c>
      <c r="L302" s="8"/>
    </row>
    <row r="303" spans="1:12" s="12" customFormat="1" ht="85.5" x14ac:dyDescent="0.25">
      <c r="A303" s="44" t="s">
        <v>60</v>
      </c>
      <c r="B303" s="77">
        <v>16.399999999999999</v>
      </c>
      <c r="C303" s="77">
        <v>10.5</v>
      </c>
      <c r="D303" s="77">
        <v>1.9</v>
      </c>
      <c r="E303" s="77">
        <v>5.75</v>
      </c>
      <c r="F303" s="77">
        <v>18.25</v>
      </c>
      <c r="G303" s="77" t="s">
        <v>78</v>
      </c>
      <c r="H303" s="74">
        <f>(B303*E303+C303*F303)*365/1000</f>
        <v>104.36262499999999</v>
      </c>
      <c r="I303" s="45">
        <v>2014</v>
      </c>
      <c r="J303" s="44" t="s">
        <v>539</v>
      </c>
      <c r="K303" s="84" t="s">
        <v>237</v>
      </c>
      <c r="L303" s="8"/>
    </row>
    <row r="304" spans="1:12" s="12" customFormat="1" ht="100.5" customHeight="1" x14ac:dyDescent="0.25">
      <c r="A304" s="55" t="s">
        <v>48</v>
      </c>
      <c r="B304" s="78">
        <v>18.399999999999999</v>
      </c>
      <c r="C304" s="78">
        <v>10.5</v>
      </c>
      <c r="D304" s="78">
        <v>1.9</v>
      </c>
      <c r="E304" s="78">
        <v>5.75</v>
      </c>
      <c r="F304" s="78" t="s">
        <v>78</v>
      </c>
      <c r="G304" s="78">
        <v>18.25</v>
      </c>
      <c r="H304" s="73">
        <f>(B304*E304+D304*G304)*365/1000</f>
        <v>51.273375000000001</v>
      </c>
      <c r="I304" s="56">
        <v>2014</v>
      </c>
      <c r="J304" s="55" t="s">
        <v>539</v>
      </c>
      <c r="K304" s="83" t="s">
        <v>235</v>
      </c>
      <c r="L304" s="8"/>
    </row>
    <row r="305" spans="1:12" s="12" customFormat="1" ht="85.5" x14ac:dyDescent="0.25">
      <c r="A305" s="44" t="s">
        <v>61</v>
      </c>
      <c r="B305" s="77">
        <v>16.7</v>
      </c>
      <c r="C305" s="77">
        <v>15.4</v>
      </c>
      <c r="D305" s="77">
        <v>1.3</v>
      </c>
      <c r="E305" s="77">
        <v>5.75</v>
      </c>
      <c r="F305" s="77">
        <v>18.25</v>
      </c>
      <c r="G305" s="77" t="s">
        <v>78</v>
      </c>
      <c r="H305" s="74">
        <f>(B305*E305+C305*F305)*365/1000</f>
        <v>137.632375</v>
      </c>
      <c r="I305" s="45">
        <v>2014</v>
      </c>
      <c r="J305" s="44" t="s">
        <v>539</v>
      </c>
      <c r="K305" s="84" t="s">
        <v>236</v>
      </c>
      <c r="L305" s="8"/>
    </row>
    <row r="306" spans="1:12" s="12" customFormat="1" ht="85.5" x14ac:dyDescent="0.25">
      <c r="A306" s="55" t="s">
        <v>49</v>
      </c>
      <c r="B306" s="78">
        <v>16.7</v>
      </c>
      <c r="C306" s="78">
        <v>15.4</v>
      </c>
      <c r="D306" s="78">
        <v>1.3</v>
      </c>
      <c r="E306" s="78">
        <v>5.75</v>
      </c>
      <c r="F306" s="78" t="s">
        <v>78</v>
      </c>
      <c r="G306" s="78">
        <v>18.25</v>
      </c>
      <c r="H306" s="73">
        <f>(B306*E306+D306*G306)*365/1000</f>
        <v>43.708750000000002</v>
      </c>
      <c r="I306" s="56">
        <v>2014</v>
      </c>
      <c r="J306" s="55" t="s">
        <v>539</v>
      </c>
      <c r="K306" s="83" t="s">
        <v>237</v>
      </c>
      <c r="L306" s="8"/>
    </row>
    <row r="307" spans="1:12" s="12" customFormat="1" ht="42.75" x14ac:dyDescent="0.25">
      <c r="A307" s="44" t="s">
        <v>157</v>
      </c>
      <c r="B307" s="77">
        <v>16</v>
      </c>
      <c r="C307" s="77">
        <v>14</v>
      </c>
      <c r="D307" s="77">
        <v>5.8</v>
      </c>
      <c r="E307" s="77">
        <f>182/365</f>
        <v>0.49863013698630138</v>
      </c>
      <c r="F307" s="77">
        <f>885/365</f>
        <v>2.4246575342465753</v>
      </c>
      <c r="G307" s="77">
        <f>7702/365</f>
        <v>21.101369863013698</v>
      </c>
      <c r="H307" s="74">
        <f>(G307*D307+F307*C307+E307*B307)*365/1000</f>
        <v>59.973599999999998</v>
      </c>
      <c r="I307" s="45">
        <v>2014</v>
      </c>
      <c r="J307" s="44" t="s">
        <v>113</v>
      </c>
      <c r="K307" s="53" t="s">
        <v>260</v>
      </c>
      <c r="L307" s="8"/>
    </row>
    <row r="308" spans="1:12" s="12" customFormat="1" ht="42.75" x14ac:dyDescent="0.25">
      <c r="A308" s="55" t="s">
        <v>158</v>
      </c>
      <c r="B308" s="78">
        <v>32</v>
      </c>
      <c r="C308" s="78">
        <v>32</v>
      </c>
      <c r="D308" s="78">
        <v>0.4</v>
      </c>
      <c r="E308" s="78">
        <f>(108+293)/365</f>
        <v>1.0986301369863014</v>
      </c>
      <c r="F308" s="78">
        <f>1205/365</f>
        <v>3.3013698630136985</v>
      </c>
      <c r="G308" s="78">
        <f>7154/365</f>
        <v>19.600000000000001</v>
      </c>
      <c r="H308" s="73">
        <f>(G308*D308+F308*C308+E308*B308)*365/1000</f>
        <v>54.253599999999999</v>
      </c>
      <c r="I308" s="56">
        <v>2014</v>
      </c>
      <c r="J308" s="55" t="s">
        <v>113</v>
      </c>
      <c r="K308" s="57" t="s">
        <v>260</v>
      </c>
      <c r="L308" s="8"/>
    </row>
    <row r="309" spans="1:12" s="12" customFormat="1" ht="42.75" x14ac:dyDescent="0.25">
      <c r="A309" s="44" t="s">
        <v>153</v>
      </c>
      <c r="B309" s="77">
        <v>1.8</v>
      </c>
      <c r="C309" s="77">
        <v>1.2</v>
      </c>
      <c r="D309" s="77">
        <v>0.3</v>
      </c>
      <c r="E309" s="77">
        <f>204/365</f>
        <v>0.55890410958904113</v>
      </c>
      <c r="F309" s="77">
        <f>2738/365</f>
        <v>7.5013698630136982</v>
      </c>
      <c r="G309" s="77">
        <f>(3103+2920)/365</f>
        <v>16.5013698630137</v>
      </c>
      <c r="H309" s="74">
        <f>(G309*D309+F309*C309+E309*B309)*365/1000</f>
        <v>5.4596999999999998</v>
      </c>
      <c r="I309" s="45">
        <v>2014</v>
      </c>
      <c r="J309" s="44" t="s">
        <v>113</v>
      </c>
      <c r="K309" s="53" t="s">
        <v>260</v>
      </c>
      <c r="L309" s="8"/>
    </row>
    <row r="310" spans="1:12" s="12" customFormat="1" ht="85.5" x14ac:dyDescent="0.25">
      <c r="A310" s="55" t="s">
        <v>62</v>
      </c>
      <c r="B310" s="78">
        <v>8</v>
      </c>
      <c r="C310" s="78">
        <v>6.5</v>
      </c>
      <c r="D310" s="78">
        <v>1.4</v>
      </c>
      <c r="E310" s="78">
        <v>5.75</v>
      </c>
      <c r="F310" s="78">
        <v>18.25</v>
      </c>
      <c r="G310" s="78" t="s">
        <v>78</v>
      </c>
      <c r="H310" s="73">
        <v>60.088124999999998</v>
      </c>
      <c r="I310" s="56">
        <v>2014</v>
      </c>
      <c r="J310" s="55" t="s">
        <v>539</v>
      </c>
      <c r="K310" s="57" t="s">
        <v>237</v>
      </c>
      <c r="L310" s="8"/>
    </row>
    <row r="311" spans="1:12" s="12" customFormat="1" ht="85.5" x14ac:dyDescent="0.25">
      <c r="A311" s="44" t="s">
        <v>50</v>
      </c>
      <c r="B311" s="77">
        <v>8</v>
      </c>
      <c r="C311" s="77">
        <v>6.5</v>
      </c>
      <c r="D311" s="77">
        <v>1.4</v>
      </c>
      <c r="E311" s="77">
        <v>5.75</v>
      </c>
      <c r="F311" s="77" t="s">
        <v>78</v>
      </c>
      <c r="G311" s="77">
        <v>18.25</v>
      </c>
      <c r="H311" s="74">
        <v>26.1</v>
      </c>
      <c r="I311" s="45">
        <v>2014</v>
      </c>
      <c r="J311" s="44" t="s">
        <v>539</v>
      </c>
      <c r="K311" s="53" t="s">
        <v>237</v>
      </c>
      <c r="L311" s="8"/>
    </row>
    <row r="312" spans="1:12" s="12" customFormat="1" ht="85.5" x14ac:dyDescent="0.25">
      <c r="A312" s="55" t="s">
        <v>63</v>
      </c>
      <c r="B312" s="78">
        <v>24.2</v>
      </c>
      <c r="C312" s="78">
        <v>24.2</v>
      </c>
      <c r="D312" s="78">
        <v>1.7</v>
      </c>
      <c r="E312" s="78">
        <v>5.75</v>
      </c>
      <c r="F312" s="78">
        <v>18.25</v>
      </c>
      <c r="G312" s="78" t="s">
        <v>78</v>
      </c>
      <c r="H312" s="73">
        <v>211.99199999999996</v>
      </c>
      <c r="I312" s="56">
        <v>2014</v>
      </c>
      <c r="J312" s="55" t="s">
        <v>539</v>
      </c>
      <c r="K312" s="57" t="s">
        <v>237</v>
      </c>
      <c r="L312" s="8"/>
    </row>
    <row r="313" spans="1:12" s="12" customFormat="1" ht="85.5" x14ac:dyDescent="0.25">
      <c r="A313" s="44" t="s">
        <v>51</v>
      </c>
      <c r="B313" s="77">
        <v>24.2</v>
      </c>
      <c r="C313" s="77">
        <v>24.2</v>
      </c>
      <c r="D313" s="77">
        <v>1.7</v>
      </c>
      <c r="E313" s="77">
        <v>5.75</v>
      </c>
      <c r="F313" s="77" t="s">
        <v>78</v>
      </c>
      <c r="G313" s="77">
        <v>18.25</v>
      </c>
      <c r="H313" s="74">
        <v>62.1</v>
      </c>
      <c r="I313" s="45">
        <v>2014</v>
      </c>
      <c r="J313" s="44" t="s">
        <v>539</v>
      </c>
      <c r="K313" s="53" t="s">
        <v>237</v>
      </c>
      <c r="L313" s="8"/>
    </row>
    <row r="314" spans="1:12" s="12" customFormat="1" ht="42.75" x14ac:dyDescent="0.25">
      <c r="A314" s="55" t="s">
        <v>181</v>
      </c>
      <c r="B314" s="78">
        <v>24</v>
      </c>
      <c r="C314" s="78">
        <v>24</v>
      </c>
      <c r="D314" s="78">
        <v>1.7</v>
      </c>
      <c r="E314" s="78">
        <f>(197+22)/365</f>
        <v>0.6</v>
      </c>
      <c r="F314" s="78">
        <f>1059/365</f>
        <v>2.9013698630136986</v>
      </c>
      <c r="G314" s="78">
        <f>7483/365</f>
        <v>20.5013698630137</v>
      </c>
      <c r="H314" s="73">
        <f>(G314*D314+F314*C314+E314*B314)*365/1000</f>
        <v>43.393099999999997</v>
      </c>
      <c r="I314" s="56">
        <v>2014</v>
      </c>
      <c r="J314" s="55" t="s">
        <v>113</v>
      </c>
      <c r="K314" s="57" t="s">
        <v>260</v>
      </c>
      <c r="L314" s="8"/>
    </row>
    <row r="315" spans="1:12" s="12" customFormat="1" ht="85.5" x14ac:dyDescent="0.25">
      <c r="A315" s="44" t="s">
        <v>238</v>
      </c>
      <c r="B315" s="77">
        <v>180</v>
      </c>
      <c r="C315" s="77">
        <v>177</v>
      </c>
      <c r="D315" s="77">
        <v>1.1000000000000001</v>
      </c>
      <c r="E315" s="77">
        <v>5.75</v>
      </c>
      <c r="F315" s="77">
        <v>18.25</v>
      </c>
      <c r="G315" s="77" t="s">
        <v>78</v>
      </c>
      <c r="H315" s="74">
        <f>(B315*E315+C315*F315)*365/1000</f>
        <v>1556.8162500000001</v>
      </c>
      <c r="I315" s="45">
        <v>2014</v>
      </c>
      <c r="J315" s="44" t="s">
        <v>539</v>
      </c>
      <c r="K315" s="84" t="s">
        <v>236</v>
      </c>
      <c r="L315" s="8"/>
    </row>
    <row r="316" spans="1:12" s="12" customFormat="1" ht="85.5" x14ac:dyDescent="0.25">
      <c r="A316" s="55" t="s">
        <v>239</v>
      </c>
      <c r="B316" s="78">
        <v>180</v>
      </c>
      <c r="C316" s="78">
        <v>177</v>
      </c>
      <c r="D316" s="78">
        <v>1.1000000000000001</v>
      </c>
      <c r="E316" s="78">
        <v>5.75</v>
      </c>
      <c r="F316" s="78" t="s">
        <v>78</v>
      </c>
      <c r="G316" s="78">
        <v>18.25</v>
      </c>
      <c r="H316" s="73">
        <f>(B316*E316+D316*G316)*365/1000</f>
        <v>385.10237499999999</v>
      </c>
      <c r="I316" s="56">
        <v>2014</v>
      </c>
      <c r="J316" s="55" t="s">
        <v>539</v>
      </c>
      <c r="K316" s="57" t="s">
        <v>237</v>
      </c>
      <c r="L316" s="8"/>
    </row>
    <row r="317" spans="1:12" s="12" customFormat="1" ht="85.5" x14ac:dyDescent="0.25">
      <c r="A317" s="44" t="s">
        <v>64</v>
      </c>
      <c r="B317" s="77">
        <v>150.1</v>
      </c>
      <c r="C317" s="77">
        <v>152.9</v>
      </c>
      <c r="D317" s="77">
        <v>1.1000000000000001</v>
      </c>
      <c r="E317" s="77">
        <v>5.75</v>
      </c>
      <c r="F317" s="77">
        <v>18.25</v>
      </c>
      <c r="G317" s="77" t="s">
        <v>78</v>
      </c>
      <c r="H317" s="74">
        <f>(B317*E317+C317*F317)*365/1000</f>
        <v>1333.5274999999999</v>
      </c>
      <c r="I317" s="45">
        <v>2014</v>
      </c>
      <c r="J317" s="44" t="s">
        <v>539</v>
      </c>
      <c r="K317" s="84" t="s">
        <v>236</v>
      </c>
      <c r="L317" s="8"/>
    </row>
    <row r="318" spans="1:12" s="12" customFormat="1" ht="85.5" x14ac:dyDescent="0.25">
      <c r="A318" s="55" t="s">
        <v>52</v>
      </c>
      <c r="B318" s="78">
        <v>150.1</v>
      </c>
      <c r="C318" s="78">
        <v>152.9</v>
      </c>
      <c r="D318" s="78">
        <v>1.1000000000000001</v>
      </c>
      <c r="E318" s="78">
        <v>5.75</v>
      </c>
      <c r="F318" s="78" t="s">
        <v>78</v>
      </c>
      <c r="G318" s="78">
        <v>18.25</v>
      </c>
      <c r="H318" s="73">
        <f>(B318*E318+D318*G318)*365/1000</f>
        <v>322.34974999999997</v>
      </c>
      <c r="I318" s="56">
        <v>2014</v>
      </c>
      <c r="J318" s="55" t="s">
        <v>539</v>
      </c>
      <c r="K318" s="83" t="s">
        <v>237</v>
      </c>
      <c r="L318" s="8"/>
    </row>
    <row r="319" spans="1:12" s="12" customFormat="1" ht="42.75" x14ac:dyDescent="0.25">
      <c r="A319" s="44" t="s">
        <v>182</v>
      </c>
      <c r="B319" s="77">
        <f>117*394/553+92*115/553+108*44/553</f>
        <v>111.08499095840868</v>
      </c>
      <c r="C319" s="77">
        <v>101</v>
      </c>
      <c r="D319" s="77">
        <v>0.8</v>
      </c>
      <c r="E319" s="77">
        <f>(394+115+44)/365</f>
        <v>1.515068493150685</v>
      </c>
      <c r="F319" s="77">
        <f>657/365</f>
        <v>1.8</v>
      </c>
      <c r="G319" s="77">
        <f>7550/365</f>
        <v>20.684931506849313</v>
      </c>
      <c r="H319" s="74">
        <f>(G319*D319+F319*C319+E319*B319)*365/1000</f>
        <v>133.827</v>
      </c>
      <c r="I319" s="45">
        <v>2014</v>
      </c>
      <c r="J319" s="44" t="s">
        <v>113</v>
      </c>
      <c r="K319" s="84" t="s">
        <v>260</v>
      </c>
      <c r="L319" s="8"/>
    </row>
    <row r="320" spans="1:12" s="12" customFormat="1" ht="85.5" x14ac:dyDescent="0.25">
      <c r="A320" s="55" t="s">
        <v>240</v>
      </c>
      <c r="B320" s="78">
        <v>90</v>
      </c>
      <c r="C320" s="78">
        <v>72</v>
      </c>
      <c r="D320" s="78">
        <v>0.8</v>
      </c>
      <c r="E320" s="78">
        <v>5.75</v>
      </c>
      <c r="F320" s="78">
        <v>18.25</v>
      </c>
      <c r="G320" s="78" t="s">
        <v>78</v>
      </c>
      <c r="H320" s="73">
        <f>(B320*E320+C320*F320)*365/1000</f>
        <v>668.49749999999995</v>
      </c>
      <c r="I320" s="56">
        <v>2014</v>
      </c>
      <c r="J320" s="55" t="s">
        <v>539</v>
      </c>
      <c r="K320" s="83" t="s">
        <v>237</v>
      </c>
      <c r="L320" s="8"/>
    </row>
    <row r="321" spans="1:14" s="12" customFormat="1" ht="85.5" x14ac:dyDescent="0.25">
      <c r="A321" s="44" t="s">
        <v>241</v>
      </c>
      <c r="B321" s="77">
        <v>90</v>
      </c>
      <c r="C321" s="77">
        <v>72</v>
      </c>
      <c r="D321" s="77">
        <v>0.8</v>
      </c>
      <c r="E321" s="77">
        <v>5.75</v>
      </c>
      <c r="F321" s="77" t="s">
        <v>78</v>
      </c>
      <c r="G321" s="77">
        <v>18.25</v>
      </c>
      <c r="H321" s="74">
        <f>(B321*E321+D321*G321)*365/1000</f>
        <v>194.2165</v>
      </c>
      <c r="I321" s="45">
        <v>2014</v>
      </c>
      <c r="J321" s="44" t="s">
        <v>539</v>
      </c>
      <c r="K321" s="84" t="s">
        <v>237</v>
      </c>
      <c r="L321" s="8"/>
    </row>
    <row r="322" spans="1:14" s="12" customFormat="1" ht="85.5" x14ac:dyDescent="0.25">
      <c r="A322" s="55" t="s">
        <v>242</v>
      </c>
      <c r="B322" s="78">
        <v>78</v>
      </c>
      <c r="C322" s="78">
        <v>60</v>
      </c>
      <c r="D322" s="78">
        <v>0.5</v>
      </c>
      <c r="E322" s="78">
        <v>5.75</v>
      </c>
      <c r="F322" s="78">
        <v>18.25</v>
      </c>
      <c r="G322" s="78" t="s">
        <v>78</v>
      </c>
      <c r="H322" s="73">
        <f>(B322*E322+C322*F322)*365/1000</f>
        <v>563.37750000000005</v>
      </c>
      <c r="I322" s="56">
        <v>2014</v>
      </c>
      <c r="J322" s="55" t="s">
        <v>539</v>
      </c>
      <c r="K322" s="83" t="s">
        <v>237</v>
      </c>
      <c r="L322" s="8"/>
    </row>
    <row r="323" spans="1:14" s="12" customFormat="1" ht="85.5" x14ac:dyDescent="0.25">
      <c r="A323" s="44" t="s">
        <v>243</v>
      </c>
      <c r="B323" s="77">
        <v>78</v>
      </c>
      <c r="C323" s="77">
        <v>60</v>
      </c>
      <c r="D323" s="77">
        <v>0.5</v>
      </c>
      <c r="E323" s="77">
        <v>5.75</v>
      </c>
      <c r="F323" s="77" t="s">
        <v>78</v>
      </c>
      <c r="G323" s="77">
        <v>18.25</v>
      </c>
      <c r="H323" s="74">
        <f>(B323*E323+D323*G323)*365/1000</f>
        <v>167.03312500000001</v>
      </c>
      <c r="I323" s="45">
        <v>2014</v>
      </c>
      <c r="J323" s="44" t="s">
        <v>539</v>
      </c>
      <c r="K323" s="84" t="s">
        <v>237</v>
      </c>
      <c r="L323" s="8"/>
    </row>
    <row r="324" spans="1:14" s="12" customFormat="1" ht="42.75" x14ac:dyDescent="0.25">
      <c r="A324" s="55" t="s">
        <v>183</v>
      </c>
      <c r="B324" s="78">
        <f>102*394/553+77*115/553+94*44/553</f>
        <v>96.164556962025316</v>
      </c>
      <c r="C324" s="78">
        <v>91</v>
      </c>
      <c r="D324" s="78">
        <v>0.7</v>
      </c>
      <c r="E324" s="78">
        <f>(394+115+44)/365</f>
        <v>1.515068493150685</v>
      </c>
      <c r="F324" s="78">
        <f>657/365</f>
        <v>1.8</v>
      </c>
      <c r="G324" s="78">
        <f>7550/365</f>
        <v>20.684931506849313</v>
      </c>
      <c r="H324" s="73">
        <f>(G324*D324+F324*C324+E324*B324)*365/1000</f>
        <v>118.251</v>
      </c>
      <c r="I324" s="56">
        <v>2014</v>
      </c>
      <c r="J324" s="55" t="s">
        <v>113</v>
      </c>
      <c r="K324" s="83" t="s">
        <v>260</v>
      </c>
      <c r="L324" s="8"/>
    </row>
    <row r="325" spans="1:14" s="12" customFormat="1" ht="42.75" x14ac:dyDescent="0.25">
      <c r="A325" s="44" t="s">
        <v>184</v>
      </c>
      <c r="B325" s="77">
        <f>82*394/553+62*115/553+74*44/553</f>
        <v>77.204339963833633</v>
      </c>
      <c r="C325" s="77">
        <v>68</v>
      </c>
      <c r="D325" s="77">
        <v>0.2</v>
      </c>
      <c r="E325" s="77">
        <f>(394+115+44)/365</f>
        <v>1.515068493150685</v>
      </c>
      <c r="F325" s="77">
        <f>657/365</f>
        <v>1.8</v>
      </c>
      <c r="G325" s="77">
        <f>7550/365</f>
        <v>20.684931506849313</v>
      </c>
      <c r="H325" s="74">
        <f>(G325*D325+F325*C325+E325*B325)*365/1000</f>
        <v>88.88</v>
      </c>
      <c r="I325" s="45">
        <v>2014</v>
      </c>
      <c r="J325" s="44" t="s">
        <v>113</v>
      </c>
      <c r="K325" s="84" t="s">
        <v>260</v>
      </c>
      <c r="L325" s="8"/>
    </row>
    <row r="326" spans="1:14" s="12" customFormat="1" ht="85.5" x14ac:dyDescent="0.25">
      <c r="A326" s="55" t="s">
        <v>110</v>
      </c>
      <c r="B326" s="78">
        <v>142</v>
      </c>
      <c r="C326" s="78">
        <v>87</v>
      </c>
      <c r="D326" s="78">
        <v>0.5</v>
      </c>
      <c r="E326" s="78">
        <v>5.75</v>
      </c>
      <c r="F326" s="78">
        <v>18.25</v>
      </c>
      <c r="G326" s="78" t="s">
        <v>78</v>
      </c>
      <c r="H326" s="73">
        <f>(E326*B326+F326*C326)*365/1000</f>
        <v>877.55124999999998</v>
      </c>
      <c r="I326" s="56">
        <v>2014</v>
      </c>
      <c r="J326" s="55" t="s">
        <v>539</v>
      </c>
      <c r="K326" s="83" t="s">
        <v>237</v>
      </c>
      <c r="L326" s="8"/>
    </row>
    <row r="327" spans="1:14" s="12" customFormat="1" ht="85.5" x14ac:dyDescent="0.25">
      <c r="A327" s="44" t="s">
        <v>109</v>
      </c>
      <c r="B327" s="77">
        <v>142</v>
      </c>
      <c r="C327" s="77">
        <v>87</v>
      </c>
      <c r="D327" s="77">
        <v>0.5</v>
      </c>
      <c r="E327" s="77">
        <v>5.75</v>
      </c>
      <c r="F327" s="77" t="s">
        <v>78</v>
      </c>
      <c r="G327" s="77">
        <v>18.25</v>
      </c>
      <c r="H327" s="74">
        <f>(E327*B327+G327*D327)*365/1000</f>
        <v>301.35312499999998</v>
      </c>
      <c r="I327" s="45">
        <v>2014</v>
      </c>
      <c r="J327" s="44" t="s">
        <v>539</v>
      </c>
      <c r="K327" s="84" t="s">
        <v>237</v>
      </c>
      <c r="L327" s="8"/>
    </row>
    <row r="328" spans="1:14" s="12" customFormat="1" ht="85.5" x14ac:dyDescent="0.25">
      <c r="A328" s="55" t="s">
        <v>54</v>
      </c>
      <c r="B328" s="78">
        <v>7</v>
      </c>
      <c r="C328" s="78">
        <v>5.4</v>
      </c>
      <c r="D328" s="78">
        <v>1.5</v>
      </c>
      <c r="E328" s="78">
        <v>5.75</v>
      </c>
      <c r="F328" s="78">
        <v>18.25</v>
      </c>
      <c r="G328" s="78" t="s">
        <v>78</v>
      </c>
      <c r="H328" s="73">
        <v>51.291625000000003</v>
      </c>
      <c r="I328" s="56">
        <v>2014</v>
      </c>
      <c r="J328" s="55" t="s">
        <v>539</v>
      </c>
      <c r="K328" s="83" t="s">
        <v>237</v>
      </c>
      <c r="L328" s="8"/>
      <c r="M328" s="58"/>
      <c r="N328" s="58"/>
    </row>
    <row r="329" spans="1:14" s="12" customFormat="1" ht="85.5" x14ac:dyDescent="0.25">
      <c r="A329" s="59" t="s">
        <v>53</v>
      </c>
      <c r="B329" s="80">
        <v>7</v>
      </c>
      <c r="C329" s="80">
        <v>5.4</v>
      </c>
      <c r="D329" s="80">
        <v>1.5</v>
      </c>
      <c r="E329" s="80">
        <v>5.75</v>
      </c>
      <c r="F329" s="80" t="s">
        <v>78</v>
      </c>
      <c r="G329" s="80">
        <v>18.25</v>
      </c>
      <c r="H329" s="76">
        <v>25.3</v>
      </c>
      <c r="I329" s="60">
        <v>2014</v>
      </c>
      <c r="J329" s="59" t="s">
        <v>539</v>
      </c>
      <c r="K329" s="85" t="s">
        <v>237</v>
      </c>
      <c r="L329" s="8"/>
      <c r="M329" s="58"/>
      <c r="N329" s="58"/>
    </row>
    <row r="330" spans="1:14" s="12" customFormat="1" x14ac:dyDescent="0.2">
      <c r="A330" s="47"/>
      <c r="B330" s="48"/>
      <c r="C330" s="48"/>
      <c r="D330" s="48"/>
      <c r="E330" s="48"/>
      <c r="F330" s="48"/>
      <c r="G330" s="48"/>
      <c r="H330" s="48"/>
      <c r="I330" s="49"/>
      <c r="J330" s="50"/>
      <c r="K330" s="51"/>
      <c r="L330" s="8"/>
      <c r="M330" s="58"/>
      <c r="N330" s="58"/>
    </row>
    <row r="331" spans="1:14" s="12" customFormat="1" ht="123.75" customHeight="1" x14ac:dyDescent="0.2">
      <c r="A331" s="98" t="s">
        <v>176</v>
      </c>
      <c r="B331" s="98"/>
      <c r="C331" s="98"/>
      <c r="D331" s="98"/>
      <c r="E331" s="98"/>
      <c r="F331" s="98"/>
      <c r="G331" s="98"/>
      <c r="H331" s="98"/>
      <c r="I331" s="98"/>
      <c r="J331" s="50"/>
      <c r="K331" s="61" t="s">
        <v>288</v>
      </c>
      <c r="L331" s="8"/>
    </row>
    <row r="332" spans="1:14" s="12" customFormat="1" x14ac:dyDescent="0.3">
      <c r="A332" s="24"/>
      <c r="B332" s="34"/>
      <c r="C332" s="34"/>
      <c r="D332" s="34"/>
      <c r="E332" s="34"/>
      <c r="F332" s="34"/>
      <c r="G332" s="34"/>
      <c r="H332" s="34"/>
      <c r="I332" s="34"/>
      <c r="J332" s="29"/>
      <c r="K332" s="30"/>
      <c r="L332" s="8"/>
    </row>
    <row r="333" spans="1:14" s="12" customFormat="1" x14ac:dyDescent="0.3">
      <c r="A333" s="24"/>
      <c r="B333" s="34"/>
      <c r="C333" s="34"/>
      <c r="D333" s="34"/>
      <c r="E333" s="34"/>
      <c r="F333" s="34"/>
      <c r="G333" s="34"/>
      <c r="H333" s="34"/>
      <c r="I333" s="34"/>
      <c r="J333" s="29"/>
      <c r="K333" s="30"/>
      <c r="L333" s="8"/>
    </row>
    <row r="334" spans="1:14" s="12" customFormat="1" x14ac:dyDescent="0.3">
      <c r="A334" s="24"/>
      <c r="B334" s="34"/>
      <c r="C334" s="34"/>
      <c r="D334" s="34"/>
      <c r="E334" s="34"/>
      <c r="F334" s="34"/>
      <c r="G334" s="34"/>
      <c r="H334" s="34"/>
      <c r="I334" s="34"/>
      <c r="J334" s="29"/>
      <c r="K334" s="30"/>
      <c r="L334" s="8"/>
    </row>
    <row r="335" spans="1:14" s="12" customFormat="1" x14ac:dyDescent="0.3">
      <c r="A335" s="24"/>
      <c r="B335" s="34"/>
      <c r="C335" s="34"/>
      <c r="D335" s="34"/>
      <c r="E335" s="34"/>
      <c r="F335" s="34"/>
      <c r="G335" s="34"/>
      <c r="H335" s="34"/>
      <c r="I335" s="34"/>
      <c r="J335" s="29"/>
      <c r="K335" s="30"/>
      <c r="L335" s="9"/>
    </row>
    <row r="336" spans="1:14" x14ac:dyDescent="0.3">
      <c r="A336" s="24"/>
      <c r="B336" s="34"/>
      <c r="C336" s="34"/>
      <c r="D336" s="34"/>
      <c r="E336" s="34"/>
      <c r="F336" s="34"/>
      <c r="G336" s="34"/>
      <c r="H336" s="34"/>
      <c r="I336" s="34"/>
      <c r="J336" s="29"/>
      <c r="K336" s="30"/>
    </row>
    <row r="337" spans="1:12" x14ac:dyDescent="0.3">
      <c r="I337" s="26"/>
      <c r="J337" s="29"/>
      <c r="K337" s="30"/>
    </row>
    <row r="338" spans="1:12" x14ac:dyDescent="0.3">
      <c r="I338" s="26"/>
      <c r="J338" s="29"/>
      <c r="K338" s="30"/>
      <c r="L338" s="20"/>
    </row>
    <row r="339" spans="1:12" s="21" customFormat="1" x14ac:dyDescent="0.3">
      <c r="A339" s="1"/>
      <c r="B339" s="13"/>
      <c r="C339" s="13"/>
      <c r="D339" s="13"/>
      <c r="E339" s="13"/>
      <c r="F339" s="13"/>
      <c r="G339" s="13"/>
      <c r="H339" s="13"/>
      <c r="I339" s="26"/>
      <c r="J339" s="29"/>
      <c r="K339" s="30"/>
      <c r="L339" s="11"/>
    </row>
    <row r="340" spans="1:12" s="10" customFormat="1" x14ac:dyDescent="0.3">
      <c r="A340" s="1"/>
      <c r="B340" s="13"/>
      <c r="C340" s="13"/>
      <c r="D340" s="13"/>
      <c r="E340" s="13"/>
      <c r="F340" s="13"/>
      <c r="G340" s="13"/>
      <c r="H340" s="13"/>
      <c r="I340" s="26"/>
      <c r="J340" s="29"/>
      <c r="K340" s="30"/>
      <c r="L340" s="9"/>
    </row>
    <row r="341" spans="1:12" x14ac:dyDescent="0.3">
      <c r="I341" s="26"/>
      <c r="J341" s="29"/>
      <c r="K341" s="30"/>
    </row>
    <row r="342" spans="1:12" x14ac:dyDescent="0.3">
      <c r="I342" s="26"/>
      <c r="J342" s="29"/>
      <c r="K342" s="30"/>
    </row>
    <row r="343" spans="1:12" ht="4.5" customHeight="1" x14ac:dyDescent="0.3">
      <c r="I343" s="26"/>
      <c r="J343" s="29"/>
      <c r="K343" s="30"/>
    </row>
    <row r="344" spans="1:12" ht="13.9" customHeight="1" x14ac:dyDescent="0.3">
      <c r="I344" s="26"/>
      <c r="J344" s="29"/>
      <c r="K344" s="30"/>
    </row>
    <row r="345" spans="1:12" x14ac:dyDescent="0.3">
      <c r="I345" s="26"/>
      <c r="J345" s="29"/>
      <c r="K345" s="30"/>
    </row>
    <row r="346" spans="1:12" x14ac:dyDescent="0.3">
      <c r="I346" s="26"/>
      <c r="J346" s="29"/>
      <c r="K346" s="30"/>
    </row>
    <row r="347" spans="1:12" x14ac:dyDescent="0.3">
      <c r="I347" s="26"/>
      <c r="J347" s="29"/>
      <c r="K347" s="30"/>
    </row>
    <row r="348" spans="1:12" x14ac:dyDescent="0.3">
      <c r="I348" s="26"/>
      <c r="J348" s="29"/>
      <c r="K348" s="30"/>
    </row>
    <row r="349" spans="1:12" x14ac:dyDescent="0.3">
      <c r="I349" s="26"/>
      <c r="J349" s="29"/>
      <c r="K349" s="31"/>
    </row>
    <row r="350" spans="1:12" x14ac:dyDescent="0.3">
      <c r="I350" s="26"/>
      <c r="J350" s="29"/>
      <c r="K350" s="31"/>
    </row>
    <row r="351" spans="1:12" x14ac:dyDescent="0.3">
      <c r="I351" s="26"/>
      <c r="J351" s="29"/>
      <c r="K351" s="30"/>
    </row>
    <row r="352" spans="1:12" x14ac:dyDescent="0.3">
      <c r="I352" s="26"/>
      <c r="J352" s="29"/>
      <c r="K352" s="30"/>
    </row>
    <row r="353" spans="9:11" x14ac:dyDescent="0.3">
      <c r="I353" s="26"/>
      <c r="J353" s="29"/>
      <c r="K353" s="30"/>
    </row>
    <row r="354" spans="9:11" x14ac:dyDescent="0.3">
      <c r="I354" s="26"/>
      <c r="J354" s="29"/>
      <c r="K354" s="30"/>
    </row>
    <row r="355" spans="9:11" x14ac:dyDescent="0.3">
      <c r="I355" s="26"/>
      <c r="J355" s="29"/>
      <c r="K355" s="30"/>
    </row>
    <row r="356" spans="9:11" x14ac:dyDescent="0.3">
      <c r="I356" s="26"/>
      <c r="J356" s="29"/>
      <c r="K356" s="30"/>
    </row>
    <row r="357" spans="9:11" x14ac:dyDescent="0.3">
      <c r="I357" s="26"/>
      <c r="J357" s="29"/>
      <c r="K357" s="30"/>
    </row>
    <row r="358" spans="9:11" x14ac:dyDescent="0.3">
      <c r="I358" s="26"/>
      <c r="J358" s="29"/>
      <c r="K358" s="30"/>
    </row>
    <row r="359" spans="9:11" x14ac:dyDescent="0.3">
      <c r="I359" s="26"/>
      <c r="J359" s="29"/>
      <c r="K359" s="30"/>
    </row>
    <row r="360" spans="9:11" x14ac:dyDescent="0.3">
      <c r="I360" s="26"/>
      <c r="J360" s="29"/>
      <c r="K360" s="30"/>
    </row>
    <row r="361" spans="9:11" x14ac:dyDescent="0.3">
      <c r="I361" s="26"/>
      <c r="J361" s="29"/>
      <c r="K361" s="30"/>
    </row>
    <row r="362" spans="9:11" x14ac:dyDescent="0.3">
      <c r="I362" s="26"/>
      <c r="J362" s="29"/>
      <c r="K362" s="30"/>
    </row>
    <row r="363" spans="9:11" x14ac:dyDescent="0.3">
      <c r="I363" s="13"/>
      <c r="J363" s="29"/>
      <c r="K363" s="30"/>
    </row>
    <row r="364" spans="9:11" x14ac:dyDescent="0.3">
      <c r="I364" s="13"/>
      <c r="J364" s="29"/>
      <c r="K364" s="30"/>
    </row>
  </sheetData>
  <mergeCells count="7">
    <mergeCell ref="E13:G13"/>
    <mergeCell ref="H13:H15"/>
    <mergeCell ref="B14:D14"/>
    <mergeCell ref="E14:G14"/>
    <mergeCell ref="A331:I331"/>
    <mergeCell ref="A10:K11"/>
    <mergeCell ref="B13:D13"/>
  </mergeCells>
  <hyperlinks>
    <hyperlink ref="A9" r:id="rId1"/>
    <hyperlink ref="K325" r:id="rId2"/>
    <hyperlink ref="K324" r:id="rId3"/>
    <hyperlink ref="K319" r:id="rId4"/>
    <hyperlink ref="K314" r:id="rId5" display="http://www.ce.org/CorporateSite/files/e4/e4d65f2d-bbd3-49f5-b3d6-8634268aa055.pdf"/>
    <hyperlink ref="K309" r:id="rId6" display="http://www.ce.org/CorporateSite/files/e4/e4d65f2d-bbd3-49f5-b3d6-8634268aa055.pdf"/>
    <hyperlink ref="K308" r:id="rId7" display="http://www.ce.org/CorporateSite/files/e4/e4d65f2d-bbd3-49f5-b3d6-8634268aa055.pdf"/>
    <hyperlink ref="K307" r:id="rId8" display="http://www.ce.org/CorporateSite/files/e4/e4d65f2d-bbd3-49f5-b3d6-8634268aa055.pdf"/>
    <hyperlink ref="K235:K236" r:id="rId9" display="http://www.ce.org/CorporateSite/files/e4/e4d65f2d-bbd3-49f5-b3d6-8634268aa055.pdf"/>
    <hyperlink ref="K75:K77" r:id="rId10" display="http://www.ce.org/CorporateSite/files/e4/e4d65f2d-bbd3-49f5-b3d6-8634268aa055.pdf"/>
    <hyperlink ref="K69:K72" r:id="rId11" display="http://www.ce.org/CorporateSite/files/e4/e4d65f2d-bbd3-49f5-b3d6-8634268aa055.pdf"/>
    <hyperlink ref="K291" r:id="rId12"/>
    <hyperlink ref="K263" r:id="rId13"/>
    <hyperlink ref="K132" r:id="rId14"/>
    <hyperlink ref="K191:K192" r:id="rId15" display="http://www.energystar.gov/ia/business/bulk_purchasing/bpsavings_calc/appliance_calculator.xlsx"/>
    <hyperlink ref="K117" r:id="rId16"/>
    <hyperlink ref="K21" r:id="rId17" location="powermodes"/>
    <hyperlink ref="K265:K285" r:id="rId18" display="http://www.esource.com/members/TAS-TN-12-07c/Tech-News/Energy-Use-of-TVs"/>
    <hyperlink ref="K137" r:id="rId19"/>
    <hyperlink ref="K118" r:id="rId20"/>
    <hyperlink ref="K29" r:id="rId21"/>
    <hyperlink ref="K108" r:id="rId22"/>
    <hyperlink ref="K107" r:id="rId23"/>
    <hyperlink ref="K97" r:id="rId24"/>
    <hyperlink ref="K191" r:id="rId25"/>
    <hyperlink ref="K229" r:id="rId26"/>
    <hyperlink ref="K228" r:id="rId27"/>
    <hyperlink ref="K239" r:id="rId28"/>
    <hyperlink ref="K238" r:id="rId29"/>
    <hyperlink ref="K203" r:id="rId30"/>
    <hyperlink ref="K204" r:id="rId31"/>
    <hyperlink ref="K265" r:id="rId32"/>
    <hyperlink ref="K266" r:id="rId33"/>
    <hyperlink ref="K276:K285" r:id="rId34" display="http://www.esource.com/members/TAS-TN-12-07c/Tech-News/Energy-Use-of-TVs"/>
    <hyperlink ref="K264" r:id="rId35"/>
    <hyperlink ref="K267" r:id="rId36"/>
    <hyperlink ref="K268" r:id="rId37"/>
    <hyperlink ref="K269" r:id="rId38"/>
    <hyperlink ref="K270" r:id="rId39"/>
    <hyperlink ref="K271" r:id="rId40"/>
    <hyperlink ref="K272" r:id="rId41"/>
    <hyperlink ref="K273" r:id="rId42"/>
    <hyperlink ref="K274" r:id="rId43"/>
    <hyperlink ref="K275" r:id="rId44"/>
    <hyperlink ref="K276" r:id="rId45"/>
    <hyperlink ref="K277" r:id="rId46"/>
    <hyperlink ref="K278" r:id="rId47"/>
    <hyperlink ref="K279" r:id="rId48"/>
    <hyperlink ref="K280" r:id="rId49"/>
    <hyperlink ref="K281" r:id="rId50"/>
    <hyperlink ref="K282" r:id="rId51"/>
    <hyperlink ref="K283" r:id="rId52"/>
    <hyperlink ref="K284" r:id="rId53"/>
    <hyperlink ref="K285" r:id="rId54"/>
    <hyperlink ref="K286" r:id="rId55" display="http://www.ce.org/CorporateSite/files/e4/e4d65f2d-bbd3-49f5-b3d6-8634268aa055.pdf"/>
    <hyperlink ref="K245" r:id="rId56"/>
    <hyperlink ref="K246:K261" r:id="rId57" display="http://www.cta.tech/CTA/media/policyImages/Energy-Consumption-of-Consumer-Electronics.pdf"/>
    <hyperlink ref="K242" r:id="rId58"/>
    <hyperlink ref="K230:K235" r:id="rId59" display="http://www.cta.tech/CTA/media/policyImages/Energy-Consumption-of-Consumer-Electronics.pdf"/>
    <hyperlink ref="K218:K225" r:id="rId60" display="http://www.cta.tech/CTA/media/policyImages/Energy-Consumption-of-Consumer-Electronics.pdf"/>
    <hyperlink ref="K205:K216" r:id="rId61" display="http://www.cta.tech/CTA/media/policyImages/Energy-Consumption-of-Consumer-Electronics.pdf"/>
    <hyperlink ref="K201:K202" r:id="rId62" display="http://www.cta.tech/CTA/media/policyImages/Energy-Consumption-of-Consumer-Electronics.pdf"/>
    <hyperlink ref="K134" r:id="rId63"/>
    <hyperlink ref="K120" r:id="rId64"/>
    <hyperlink ref="K123" r:id="rId65"/>
    <hyperlink ref="K17" r:id="rId66"/>
    <hyperlink ref="K22" r:id="rId67"/>
    <hyperlink ref="K26:K27" r:id="rId68" display="http://www.cta.tech/CTA/media/policyImages/Energy-Consumption-of-Consumer-Electronics.pdf"/>
    <hyperlink ref="K49" r:id="rId69"/>
    <hyperlink ref="K57:K58" r:id="rId70" display="http://www.cta.tech/CTA/media/policyImages/Energy-Consumption-of-Consumer-Electronics.pdf"/>
    <hyperlink ref="K62:K66" r:id="rId71" display="http://www.cta.tech/CTA/media/policyImages/Energy-Consumption-of-Consumer-Electronics.pdf"/>
    <hyperlink ref="K77:K79" r:id="rId72" display="http://www.cta.tech/CTA/media/policyImages/Energy-Consumption-of-Consumer-Electronics.pdf"/>
    <hyperlink ref="K131" r:id="rId73"/>
    <hyperlink ref="K18" r:id="rId74"/>
    <hyperlink ref="K19" r:id="rId75"/>
    <hyperlink ref="K23" r:id="rId76" location="Tab6"/>
    <hyperlink ref="K24" r:id="rId77" location="Tab6"/>
    <hyperlink ref="K28" r:id="rId78"/>
    <hyperlink ref="K30" r:id="rId79"/>
    <hyperlink ref="K50" r:id="rId80" location="Tab6"/>
    <hyperlink ref="K51" r:id="rId81" location="Tab6"/>
    <hyperlink ref="K52" r:id="rId82" location="Tab6"/>
    <hyperlink ref="K53" r:id="rId83" location="Tab6"/>
    <hyperlink ref="K54" r:id="rId84" location="Tab6"/>
    <hyperlink ref="K55" r:id="rId85" location="Tab6"/>
    <hyperlink ref="K56" r:id="rId86"/>
    <hyperlink ref="K59" r:id="rId87" location="Tab6"/>
    <hyperlink ref="K60" r:id="rId88" location="Tab6"/>
    <hyperlink ref="K61" r:id="rId89" location="Tab6"/>
    <hyperlink ref="K67" r:id="rId90" location="Tab6"/>
    <hyperlink ref="K68" r:id="rId91" location="Tab6"/>
    <hyperlink ref="K69" r:id="rId92" location="Tab6"/>
    <hyperlink ref="K70" r:id="rId93" location="Tab6"/>
    <hyperlink ref="K71" r:id="rId94" location="Tab6"/>
    <hyperlink ref="K72" r:id="rId95" location="Tab6"/>
    <hyperlink ref="K73" r:id="rId96" location="Tab6"/>
    <hyperlink ref="K74" r:id="rId97" location="Tab6"/>
    <hyperlink ref="K75" r:id="rId98"/>
    <hyperlink ref="K76" r:id="rId99"/>
    <hyperlink ref="K82" r:id="rId100"/>
    <hyperlink ref="K84" r:id="rId101" location="Tab6"/>
    <hyperlink ref="K85" r:id="rId102" location="Tab6"/>
    <hyperlink ref="K86" r:id="rId103" location="Tab6"/>
    <hyperlink ref="K95" r:id="rId104" location="Tab6"/>
    <hyperlink ref="K96" r:id="rId105" location="Tab6"/>
    <hyperlink ref="K104" r:id="rId106" location="Tab6"/>
    <hyperlink ref="K105" r:id="rId107" location="Tab6"/>
    <hyperlink ref="K189" r:id="rId108" location="Tab6"/>
    <hyperlink ref="K190" r:id="rId109" location="Tab6"/>
    <hyperlink ref="K199" r:id="rId110" location="Tab6"/>
    <hyperlink ref="K240" r:id="rId111" location="Tab6"/>
    <hyperlink ref="K241" r:id="rId112" location="Tab6"/>
    <hyperlink ref="K329" r:id="rId113"/>
    <hyperlink ref="K326" r:id="rId114"/>
    <hyperlink ref="K327" r:id="rId115"/>
    <hyperlink ref="K328" r:id="rId116"/>
    <hyperlink ref="K320" r:id="rId117"/>
    <hyperlink ref="K321" r:id="rId118"/>
    <hyperlink ref="K322" r:id="rId119"/>
    <hyperlink ref="K323" r:id="rId120"/>
    <hyperlink ref="K318" r:id="rId121"/>
    <hyperlink ref="K310" r:id="rId122"/>
    <hyperlink ref="K311" r:id="rId123"/>
    <hyperlink ref="K312" r:id="rId124"/>
    <hyperlink ref="K313" r:id="rId125"/>
    <hyperlink ref="K299" r:id="rId126"/>
    <hyperlink ref="K300" r:id="rId127"/>
    <hyperlink ref="K301" r:id="rId128"/>
    <hyperlink ref="K302" r:id="rId129"/>
    <hyperlink ref="K303" r:id="rId130"/>
    <hyperlink ref="K40" r:id="rId131"/>
    <hyperlink ref="K142" r:id="rId132"/>
    <hyperlink ref="K143" r:id="rId133"/>
    <hyperlink ref="K32" r:id="rId134"/>
    <hyperlink ref="K47" r:id="rId135"/>
    <hyperlink ref="K46" r:id="rId136"/>
    <hyperlink ref="K45" r:id="rId137"/>
    <hyperlink ref="K44" r:id="rId138"/>
    <hyperlink ref="K43" r:id="rId139"/>
    <hyperlink ref="K42" r:id="rId140"/>
    <hyperlink ref="K41" r:id="rId141"/>
    <hyperlink ref="K39" r:id="rId142"/>
    <hyperlink ref="K38" r:id="rId143"/>
    <hyperlink ref="K37" r:id="rId144"/>
    <hyperlink ref="K36" r:id="rId145"/>
    <hyperlink ref="K35" r:id="rId146"/>
    <hyperlink ref="K34" r:id="rId147"/>
    <hyperlink ref="K33" r:id="rId148"/>
    <hyperlink ref="K87" r:id="rId149"/>
    <hyperlink ref="K88" r:id="rId150"/>
    <hyperlink ref="K89" r:id="rId151"/>
    <hyperlink ref="K94" r:id="rId152"/>
    <hyperlink ref="K99" r:id="rId153"/>
    <hyperlink ref="K100" r:id="rId154"/>
    <hyperlink ref="K101" r:id="rId155"/>
    <hyperlink ref="K103" r:id="rId156"/>
    <hyperlink ref="K90" r:id="rId157"/>
    <hyperlink ref="K93" r:id="rId158"/>
    <hyperlink ref="K91" r:id="rId159"/>
    <hyperlink ref="K92" r:id="rId160"/>
    <hyperlink ref="K109" r:id="rId161"/>
    <hyperlink ref="K110" r:id="rId162"/>
    <hyperlink ref="K113" r:id="rId163"/>
    <hyperlink ref="K111" r:id="rId164"/>
    <hyperlink ref="K112" r:id="rId165"/>
    <hyperlink ref="K115" r:id="rId166"/>
    <hyperlink ref="K114" r:id="rId167"/>
    <hyperlink ref="K121" r:id="rId168"/>
    <hyperlink ref="K122" r:id="rId169"/>
    <hyperlink ref="K124" r:id="rId170"/>
    <hyperlink ref="K125" r:id="rId171"/>
    <hyperlink ref="K126" r:id="rId172"/>
    <hyperlink ref="K127" r:id="rId173"/>
    <hyperlink ref="K128" r:id="rId174"/>
    <hyperlink ref="K133" r:id="rId175"/>
    <hyperlink ref="K135" r:id="rId176"/>
    <hyperlink ref="K136" r:id="rId177"/>
    <hyperlink ref="K138" r:id="rId178"/>
    <hyperlink ref="K139" r:id="rId179"/>
    <hyperlink ref="K140" r:id="rId180"/>
    <hyperlink ref="K141" r:id="rId181"/>
    <hyperlink ref="K144" r:id="rId182"/>
    <hyperlink ref="K129" r:id="rId183"/>
    <hyperlink ref="K130" r:id="rId184"/>
    <hyperlink ref="K147" r:id="rId185"/>
    <hyperlink ref="K151" r:id="rId186"/>
    <hyperlink ref="K152" r:id="rId187"/>
    <hyperlink ref="K163" r:id="rId188"/>
    <hyperlink ref="K164" r:id="rId189"/>
    <hyperlink ref="K161" r:id="rId190"/>
    <hyperlink ref="K162" r:id="rId191"/>
    <hyperlink ref="K159" r:id="rId192"/>
    <hyperlink ref="K160" r:id="rId193"/>
    <hyperlink ref="K157" r:id="rId194"/>
    <hyperlink ref="K158" r:id="rId195"/>
    <hyperlink ref="K155" r:id="rId196"/>
    <hyperlink ref="K156" r:id="rId197"/>
    <hyperlink ref="K153" r:id="rId198"/>
    <hyperlink ref="K154" r:id="rId199"/>
    <hyperlink ref="K165" r:id="rId200"/>
    <hyperlink ref="K166" r:id="rId201"/>
    <hyperlink ref="K177" r:id="rId202"/>
    <hyperlink ref="K178" r:id="rId203"/>
    <hyperlink ref="K175" r:id="rId204"/>
    <hyperlink ref="K176" r:id="rId205"/>
    <hyperlink ref="K173" r:id="rId206"/>
    <hyperlink ref="K174" r:id="rId207"/>
    <hyperlink ref="K171" r:id="rId208"/>
    <hyperlink ref="K172" r:id="rId209"/>
    <hyperlink ref="K169" r:id="rId210"/>
    <hyperlink ref="K170" r:id="rId211"/>
    <hyperlink ref="K167" r:id="rId212"/>
    <hyperlink ref="K168" r:id="rId213"/>
    <hyperlink ref="K181" r:id="rId214"/>
    <hyperlink ref="K182" r:id="rId215"/>
    <hyperlink ref="K179" r:id="rId216"/>
    <hyperlink ref="K180" r:id="rId217"/>
    <hyperlink ref="K184" r:id="rId218"/>
    <hyperlink ref="K185" r:id="rId219"/>
    <hyperlink ref="K186" r:id="rId220"/>
    <hyperlink ref="K187" r:id="rId221"/>
    <hyperlink ref="K194" r:id="rId222"/>
    <hyperlink ref="K192" r:id="rId223"/>
    <hyperlink ref="K193" r:id="rId224"/>
    <hyperlink ref="K195" r:id="rId225"/>
    <hyperlink ref="K196" r:id="rId226"/>
    <hyperlink ref="K227" r:id="rId227"/>
    <hyperlink ref="K237" r:id="rId228"/>
    <hyperlink ref="K236" r:id="rId229"/>
    <hyperlink ref="K243" r:id="rId230"/>
    <hyperlink ref="K244" r:id="rId231"/>
    <hyperlink ref="K287" r:id="rId232"/>
    <hyperlink ref="K288" r:id="rId233"/>
    <hyperlink ref="K289" r:id="rId234"/>
    <hyperlink ref="K290" r:id="rId235"/>
    <hyperlink ref="K292" r:id="rId236"/>
    <hyperlink ref="K294" r:id="rId237"/>
    <hyperlink ref="K295" r:id="rId238"/>
    <hyperlink ref="K296" r:id="rId239"/>
    <hyperlink ref="K297" r:id="rId240"/>
    <hyperlink ref="K298" r:id="rId241"/>
    <hyperlink ref="K304" r:id="rId242"/>
    <hyperlink ref="K305" r:id="rId243"/>
    <hyperlink ref="K306" r:id="rId244"/>
    <hyperlink ref="K315" r:id="rId245"/>
    <hyperlink ref="K317" r:id="rId246"/>
  </hyperlinks>
  <printOptions horizontalCentered="1"/>
  <pageMargins left="0.7" right="0.7" top="0.6" bottom="0.6" header="0.3" footer="0.3"/>
  <pageSetup scale="55" fitToHeight="12" orientation="landscape" r:id="rId247"/>
  <headerFooter>
    <oddFooter>&amp;L&amp;"Arial,Regular"&amp;9 © 2013 E Source Companies LLC
Do not share outside subscribing service&amp;C&amp;"Arial,Regular"&amp;9&amp;P&amp;R&amp;"Arial,Italic"&amp;9E Source Technology Assessment Service&amp;"Arial,Regular"
Plugging the Plug Load Data Hole: Plug Loads Spreadsheet</oddFooter>
  </headerFooter>
  <rowBreaks count="3" manualBreakCount="3">
    <brk id="220" max="10" man="1"/>
    <brk id="265" max="10" man="1"/>
    <brk id="306" max="10" man="1"/>
  </rowBreaks>
  <ignoredErrors>
    <ignoredError sqref="H304" formula="1"/>
  </ignoredErrors>
  <drawing r:id="rId2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showGridLines="0" zoomScaleNormal="100" workbookViewId="0">
      <pane ySplit="15" topLeftCell="A16" activePane="bottomLeft" state="frozen"/>
      <selection pane="bottomLeft" activeCell="S508" sqref="S508"/>
    </sheetView>
  </sheetViews>
  <sheetFormatPr defaultRowHeight="15" x14ac:dyDescent="0.25"/>
  <cols>
    <col min="1" max="1" width="53" customWidth="1"/>
    <col min="2" max="2" width="13.140625" bestFit="1" customWidth="1"/>
    <col min="3" max="3" width="7.85546875" bestFit="1" customWidth="1"/>
    <col min="4" max="4" width="6.7109375" customWidth="1"/>
    <col min="5" max="7" width="13.140625" bestFit="1" customWidth="1"/>
    <col min="8" max="8" width="17.28515625" customWidth="1"/>
    <col min="9" max="9" width="13.42578125" bestFit="1" customWidth="1"/>
    <col min="10" max="10" width="51.7109375" customWidth="1"/>
    <col min="11" max="11" width="48.28515625" customWidth="1"/>
  </cols>
  <sheetData>
    <row r="1" spans="1:11" ht="16.5" x14ac:dyDescent="0.3">
      <c r="A1" s="1"/>
      <c r="B1" s="13"/>
      <c r="C1" s="13"/>
      <c r="D1" s="13"/>
      <c r="E1" s="13"/>
      <c r="F1" s="13"/>
      <c r="G1" s="13"/>
      <c r="H1" s="13"/>
      <c r="I1" s="33"/>
      <c r="J1" s="28"/>
    </row>
    <row r="2" spans="1:11" ht="16.5" x14ac:dyDescent="0.3">
      <c r="A2" s="1"/>
      <c r="B2" s="13"/>
      <c r="C2" s="13"/>
      <c r="D2" s="13"/>
      <c r="E2" s="13"/>
      <c r="F2" s="13"/>
      <c r="G2" s="13"/>
      <c r="H2" s="13"/>
      <c r="I2" s="33"/>
      <c r="J2" s="28"/>
    </row>
    <row r="3" spans="1:11" ht="16.5" x14ac:dyDescent="0.3">
      <c r="A3" s="1"/>
      <c r="B3" s="13"/>
      <c r="C3" s="13"/>
      <c r="D3" s="13"/>
      <c r="E3" s="13"/>
      <c r="F3" s="13"/>
      <c r="G3" s="13"/>
      <c r="H3" s="13"/>
      <c r="I3" s="33"/>
      <c r="J3" s="28"/>
    </row>
    <row r="4" spans="1:11" ht="16.5" x14ac:dyDescent="0.3">
      <c r="A4" s="1"/>
      <c r="B4" s="13"/>
      <c r="C4" s="13"/>
      <c r="D4" s="13"/>
      <c r="E4" s="13"/>
      <c r="F4" s="13"/>
      <c r="G4" s="13"/>
      <c r="H4" s="13"/>
      <c r="I4" s="33"/>
      <c r="J4" s="28"/>
    </row>
    <row r="5" spans="1:11" ht="16.5" x14ac:dyDescent="0.3">
      <c r="A5" s="1"/>
      <c r="B5" s="13"/>
      <c r="C5" s="13"/>
      <c r="D5" s="13"/>
      <c r="E5" s="13"/>
      <c r="F5" s="13"/>
      <c r="G5" s="13"/>
      <c r="H5" s="13"/>
      <c r="I5" s="33"/>
      <c r="J5" s="28"/>
      <c r="K5" s="28"/>
    </row>
    <row r="6" spans="1:11" ht="16.5" x14ac:dyDescent="0.3">
      <c r="A6" s="1"/>
      <c r="B6" s="13"/>
      <c r="C6" s="13"/>
      <c r="D6" s="13"/>
      <c r="E6" s="13"/>
      <c r="F6" s="13"/>
      <c r="G6" s="13"/>
      <c r="H6" s="13"/>
      <c r="I6" s="33"/>
      <c r="J6" s="28"/>
      <c r="K6" s="28"/>
    </row>
    <row r="7" spans="1:11" ht="15.75" customHeight="1" x14ac:dyDescent="0.3">
      <c r="A7" s="2"/>
      <c r="B7" s="32"/>
      <c r="C7" s="32"/>
      <c r="D7" s="32"/>
      <c r="E7" s="32"/>
      <c r="F7" s="32"/>
      <c r="G7" s="32"/>
      <c r="H7" s="32"/>
      <c r="I7" s="32"/>
      <c r="J7" s="27"/>
      <c r="K7" s="27"/>
    </row>
    <row r="8" spans="1:11" ht="2.25" customHeight="1" x14ac:dyDescent="0.3">
      <c r="A8" s="67"/>
      <c r="B8" s="68"/>
      <c r="C8" s="68"/>
      <c r="D8" s="68"/>
      <c r="E8" s="68"/>
      <c r="F8" s="68"/>
      <c r="G8" s="68"/>
      <c r="H8" s="68"/>
      <c r="I8" s="68"/>
      <c r="J8" s="69"/>
      <c r="K8" s="69"/>
    </row>
    <row r="9" spans="1:11" x14ac:dyDescent="0.25">
      <c r="A9" s="90" t="s">
        <v>79</v>
      </c>
      <c r="B9" s="65"/>
      <c r="C9" s="43"/>
      <c r="D9" s="43"/>
      <c r="E9" s="43"/>
      <c r="F9" s="43"/>
      <c r="G9" s="43"/>
      <c r="H9" s="43"/>
      <c r="I9" s="48"/>
      <c r="J9" s="50"/>
      <c r="K9" s="50"/>
    </row>
    <row r="10" spans="1:11" x14ac:dyDescent="0.25">
      <c r="A10" s="99" t="s">
        <v>549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ht="4.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27" customHeight="1" x14ac:dyDescent="0.25">
      <c r="A13" s="70"/>
      <c r="B13" s="92" t="s">
        <v>81</v>
      </c>
      <c r="C13" s="92"/>
      <c r="D13" s="92"/>
      <c r="E13" s="92" t="s">
        <v>82</v>
      </c>
      <c r="F13" s="92"/>
      <c r="G13" s="92"/>
      <c r="H13" s="93" t="s">
        <v>26</v>
      </c>
      <c r="I13" s="71"/>
      <c r="J13" s="37"/>
      <c r="K13" s="37"/>
    </row>
    <row r="14" spans="1:11" ht="6" customHeight="1" x14ac:dyDescent="0.25">
      <c r="A14" s="70"/>
      <c r="B14" s="100"/>
      <c r="C14" s="101"/>
      <c r="D14" s="102"/>
      <c r="E14" s="100"/>
      <c r="F14" s="101"/>
      <c r="G14" s="102"/>
      <c r="H14" s="93"/>
      <c r="I14" s="71"/>
      <c r="J14" s="37"/>
      <c r="K14" s="37"/>
    </row>
    <row r="15" spans="1:11" ht="17.25" customHeight="1" x14ac:dyDescent="0.25">
      <c r="A15" s="38" t="s">
        <v>80</v>
      </c>
      <c r="B15" s="63" t="s">
        <v>0</v>
      </c>
      <c r="C15" s="63" t="s">
        <v>1</v>
      </c>
      <c r="D15" s="63" t="s">
        <v>2</v>
      </c>
      <c r="E15" s="63" t="s">
        <v>0</v>
      </c>
      <c r="F15" s="63" t="s">
        <v>1</v>
      </c>
      <c r="G15" s="63" t="s">
        <v>2</v>
      </c>
      <c r="H15" s="94"/>
      <c r="I15" s="64" t="s">
        <v>88</v>
      </c>
      <c r="J15" s="39" t="s">
        <v>96</v>
      </c>
      <c r="K15" s="39" t="s">
        <v>89</v>
      </c>
    </row>
    <row r="16" spans="1:11" ht="16.5" x14ac:dyDescent="0.25">
      <c r="A16" s="40" t="s">
        <v>361</v>
      </c>
      <c r="B16" s="5"/>
      <c r="C16" s="5"/>
      <c r="D16" s="5"/>
      <c r="E16" s="5"/>
      <c r="F16" s="5"/>
      <c r="G16" s="5"/>
      <c r="H16" s="6"/>
      <c r="I16" s="16"/>
      <c r="J16" s="4"/>
      <c r="K16" s="4"/>
    </row>
    <row r="17" spans="1:12" ht="29.25" customHeight="1" x14ac:dyDescent="0.25">
      <c r="A17" s="44" t="s">
        <v>298</v>
      </c>
      <c r="B17" s="77">
        <f>H17/E17/24/365*1000</f>
        <v>23.687214611872147</v>
      </c>
      <c r="C17" s="77" t="s">
        <v>78</v>
      </c>
      <c r="D17" s="77" t="s">
        <v>78</v>
      </c>
      <c r="E17" s="77">
        <v>2</v>
      </c>
      <c r="F17" s="77" t="s">
        <v>78</v>
      </c>
      <c r="G17" s="77">
        <v>22</v>
      </c>
      <c r="H17" s="74">
        <v>415</v>
      </c>
      <c r="I17" s="45">
        <v>2015</v>
      </c>
      <c r="J17" s="44" t="s">
        <v>210</v>
      </c>
      <c r="K17" s="53" t="s">
        <v>262</v>
      </c>
    </row>
    <row r="18" spans="1:12" ht="30.75" customHeight="1" x14ac:dyDescent="0.25">
      <c r="A18" s="55" t="s">
        <v>299</v>
      </c>
      <c r="B18" s="78">
        <f>H18/E18/24/365*1000</f>
        <v>7.1917808219178081</v>
      </c>
      <c r="C18" s="78" t="s">
        <v>78</v>
      </c>
      <c r="D18" s="78" t="s">
        <v>78</v>
      </c>
      <c r="E18" s="78">
        <v>2</v>
      </c>
      <c r="F18" s="78" t="s">
        <v>78</v>
      </c>
      <c r="G18" s="78">
        <v>22</v>
      </c>
      <c r="H18" s="73">
        <v>126</v>
      </c>
      <c r="I18" s="56">
        <v>2015</v>
      </c>
      <c r="J18" s="55" t="s">
        <v>210</v>
      </c>
      <c r="K18" s="57" t="s">
        <v>262</v>
      </c>
    </row>
    <row r="19" spans="1:12" ht="16.5" x14ac:dyDescent="0.25">
      <c r="A19" s="40" t="s">
        <v>362</v>
      </c>
      <c r="B19" s="79"/>
      <c r="C19" s="79"/>
      <c r="D19" s="79"/>
      <c r="E19" s="79"/>
      <c r="F19" s="79"/>
      <c r="G19" s="79"/>
      <c r="H19" s="75"/>
      <c r="I19" s="72"/>
      <c r="J19" s="4"/>
      <c r="K19" s="40"/>
    </row>
    <row r="20" spans="1:12" ht="42.75" x14ac:dyDescent="0.25">
      <c r="A20" s="44" t="s">
        <v>332</v>
      </c>
      <c r="B20" s="77">
        <f t="shared" ref="B20:B37" si="0">(H20-(C20*F20*365/1000))/E20/365*1000</f>
        <v>45718.420091324195</v>
      </c>
      <c r="C20" s="77">
        <v>2</v>
      </c>
      <c r="D20" s="77" t="s">
        <v>78</v>
      </c>
      <c r="E20" s="77">
        <f>600*0.3/60</f>
        <v>3</v>
      </c>
      <c r="F20" s="77">
        <f t="shared" ref="F20:F37" si="1">24-E20</f>
        <v>21</v>
      </c>
      <c r="G20" s="77" t="s">
        <v>78</v>
      </c>
      <c r="H20" s="74">
        <v>50077</v>
      </c>
      <c r="I20" s="45">
        <v>2016</v>
      </c>
      <c r="J20" s="44" t="s">
        <v>426</v>
      </c>
      <c r="K20" s="84" t="s">
        <v>427</v>
      </c>
      <c r="L20" s="45"/>
    </row>
    <row r="21" spans="1:12" ht="42.75" x14ac:dyDescent="0.25">
      <c r="A21" s="55" t="s">
        <v>333</v>
      </c>
      <c r="B21" s="78">
        <f t="shared" si="0"/>
        <v>28539.424657534244</v>
      </c>
      <c r="C21" s="78">
        <v>2</v>
      </c>
      <c r="D21" s="78" t="s">
        <v>78</v>
      </c>
      <c r="E21" s="78">
        <f>600*0.3/60</f>
        <v>3</v>
      </c>
      <c r="F21" s="78">
        <f t="shared" si="1"/>
        <v>21</v>
      </c>
      <c r="G21" s="78" t="s">
        <v>78</v>
      </c>
      <c r="H21" s="73">
        <v>31266</v>
      </c>
      <c r="I21" s="56">
        <v>2016</v>
      </c>
      <c r="J21" s="55" t="s">
        <v>426</v>
      </c>
      <c r="K21" s="83" t="s">
        <v>427</v>
      </c>
    </row>
    <row r="22" spans="1:12" ht="42.75" x14ac:dyDescent="0.25">
      <c r="A22" s="44" t="s">
        <v>334</v>
      </c>
      <c r="B22" s="77">
        <f t="shared" si="0"/>
        <v>49778.020547945212</v>
      </c>
      <c r="C22" s="77">
        <v>1.5</v>
      </c>
      <c r="D22" s="77" t="s">
        <v>78</v>
      </c>
      <c r="E22" s="77">
        <f>400*0.3/60</f>
        <v>2</v>
      </c>
      <c r="F22" s="77">
        <f t="shared" si="1"/>
        <v>22</v>
      </c>
      <c r="G22" s="77" t="s">
        <v>78</v>
      </c>
      <c r="H22" s="74">
        <v>36350</v>
      </c>
      <c r="I22" s="45">
        <v>2016</v>
      </c>
      <c r="J22" s="44" t="s">
        <v>426</v>
      </c>
      <c r="K22" s="84" t="s">
        <v>427</v>
      </c>
    </row>
    <row r="23" spans="1:12" ht="42.75" x14ac:dyDescent="0.25">
      <c r="A23" s="55" t="s">
        <v>335</v>
      </c>
      <c r="B23" s="78">
        <f t="shared" si="0"/>
        <v>57791.989041095898</v>
      </c>
      <c r="C23" s="78">
        <v>1.6</v>
      </c>
      <c r="D23" s="78" t="s">
        <v>78</v>
      </c>
      <c r="E23" s="78">
        <f>400*0.3/60</f>
        <v>2</v>
      </c>
      <c r="F23" s="78">
        <f t="shared" si="1"/>
        <v>22</v>
      </c>
      <c r="G23" s="78" t="s">
        <v>78</v>
      </c>
      <c r="H23" s="73">
        <v>42201</v>
      </c>
      <c r="I23" s="56">
        <v>2016</v>
      </c>
      <c r="J23" s="55" t="s">
        <v>426</v>
      </c>
      <c r="K23" s="83" t="s">
        <v>427</v>
      </c>
    </row>
    <row r="24" spans="1:12" ht="42.75" x14ac:dyDescent="0.25">
      <c r="A24" s="44" t="s">
        <v>336</v>
      </c>
      <c r="B24" s="77">
        <f t="shared" si="0"/>
        <v>23377.021937377689</v>
      </c>
      <c r="C24" s="77">
        <v>0.87</v>
      </c>
      <c r="D24" s="77" t="s">
        <v>78</v>
      </c>
      <c r="E24" s="77">
        <f>280*1/60</f>
        <v>4.666666666666667</v>
      </c>
      <c r="F24" s="77">
        <f t="shared" si="1"/>
        <v>19.333333333333332</v>
      </c>
      <c r="G24" s="77" t="s">
        <v>78</v>
      </c>
      <c r="H24" s="74">
        <v>39825</v>
      </c>
      <c r="I24" s="45">
        <v>2016</v>
      </c>
      <c r="J24" s="44" t="s">
        <v>426</v>
      </c>
      <c r="K24" s="84" t="s">
        <v>427</v>
      </c>
    </row>
    <row r="25" spans="1:12" ht="42.75" x14ac:dyDescent="0.25">
      <c r="A25" s="55" t="s">
        <v>337</v>
      </c>
      <c r="B25" s="78">
        <f t="shared" si="0"/>
        <v>16413.146966731896</v>
      </c>
      <c r="C25" s="78">
        <v>0.7</v>
      </c>
      <c r="D25" s="78" t="s">
        <v>78</v>
      </c>
      <c r="E25" s="78">
        <f>280*1/60</f>
        <v>4.666666666666667</v>
      </c>
      <c r="F25" s="78">
        <f t="shared" si="1"/>
        <v>19.333333333333332</v>
      </c>
      <c r="G25" s="78" t="s">
        <v>78</v>
      </c>
      <c r="H25" s="73">
        <v>27962</v>
      </c>
      <c r="I25" s="56">
        <v>2016</v>
      </c>
      <c r="J25" s="55" t="s">
        <v>426</v>
      </c>
      <c r="K25" s="83" t="s">
        <v>427</v>
      </c>
    </row>
    <row r="26" spans="1:12" ht="42.75" x14ac:dyDescent="0.25">
      <c r="A26" s="44" t="s">
        <v>338</v>
      </c>
      <c r="B26" s="77">
        <f t="shared" si="0"/>
        <v>9049.8148727984335</v>
      </c>
      <c r="C26" s="77">
        <v>0.6</v>
      </c>
      <c r="D26" s="77" t="s">
        <v>78</v>
      </c>
      <c r="E26" s="77">
        <f>280*1.5/60</f>
        <v>7</v>
      </c>
      <c r="F26" s="77">
        <f t="shared" si="1"/>
        <v>17</v>
      </c>
      <c r="G26" s="77" t="s">
        <v>78</v>
      </c>
      <c r="H26" s="74">
        <v>23126</v>
      </c>
      <c r="I26" s="45">
        <v>2016</v>
      </c>
      <c r="J26" s="44" t="s">
        <v>426</v>
      </c>
      <c r="K26" s="84" t="s">
        <v>427</v>
      </c>
    </row>
    <row r="27" spans="1:12" ht="42.75" x14ac:dyDescent="0.25">
      <c r="A27" s="55" t="s">
        <v>339</v>
      </c>
      <c r="B27" s="78">
        <f t="shared" si="0"/>
        <v>13533.190027397261</v>
      </c>
      <c r="C27" s="78">
        <v>0.76</v>
      </c>
      <c r="D27" s="78" t="s">
        <v>78</v>
      </c>
      <c r="E27" s="78">
        <f>75*2/60</f>
        <v>2.5</v>
      </c>
      <c r="F27" s="78">
        <f t="shared" si="1"/>
        <v>21.5</v>
      </c>
      <c r="G27" s="78" t="s">
        <v>78</v>
      </c>
      <c r="H27" s="73">
        <v>12355</v>
      </c>
      <c r="I27" s="56">
        <v>2016</v>
      </c>
      <c r="J27" s="55" t="s">
        <v>426</v>
      </c>
      <c r="K27" s="83" t="s">
        <v>427</v>
      </c>
    </row>
    <row r="28" spans="1:12" ht="42.75" x14ac:dyDescent="0.25">
      <c r="A28" s="44" t="s">
        <v>340</v>
      </c>
      <c r="B28" s="77">
        <f t="shared" si="0"/>
        <v>10060.357534246576</v>
      </c>
      <c r="C28" s="77">
        <v>0.5</v>
      </c>
      <c r="D28" s="77" t="s">
        <v>78</v>
      </c>
      <c r="E28" s="77">
        <f>75*2/60</f>
        <v>2.5</v>
      </c>
      <c r="F28" s="77">
        <f t="shared" si="1"/>
        <v>21.5</v>
      </c>
      <c r="G28" s="77" t="s">
        <v>78</v>
      </c>
      <c r="H28" s="74">
        <v>9184</v>
      </c>
      <c r="I28" s="45">
        <v>2016</v>
      </c>
      <c r="J28" s="44" t="s">
        <v>426</v>
      </c>
      <c r="K28" s="84" t="s">
        <v>427</v>
      </c>
    </row>
    <row r="29" spans="1:12" ht="42.75" x14ac:dyDescent="0.25">
      <c r="A29" s="55" t="s">
        <v>341</v>
      </c>
      <c r="B29" s="78">
        <f t="shared" si="0"/>
        <v>12012.138356164385</v>
      </c>
      <c r="C29" s="78">
        <v>0.5</v>
      </c>
      <c r="D29" s="78" t="s">
        <v>78</v>
      </c>
      <c r="E29" s="78">
        <f>75*2/60</f>
        <v>2.5</v>
      </c>
      <c r="F29" s="78">
        <f t="shared" si="1"/>
        <v>21.5</v>
      </c>
      <c r="G29" s="78" t="s">
        <v>78</v>
      </c>
      <c r="H29" s="73">
        <v>10965</v>
      </c>
      <c r="I29" s="56">
        <v>2016</v>
      </c>
      <c r="J29" s="55" t="s">
        <v>426</v>
      </c>
      <c r="K29" s="83" t="s">
        <v>427</v>
      </c>
    </row>
    <row r="30" spans="1:12" ht="42.75" x14ac:dyDescent="0.25">
      <c r="A30" s="44" t="s">
        <v>342</v>
      </c>
      <c r="B30" s="77">
        <f t="shared" si="0"/>
        <v>9228.5767123287678</v>
      </c>
      <c r="C30" s="77">
        <v>0.5</v>
      </c>
      <c r="D30" s="77" t="s">
        <v>78</v>
      </c>
      <c r="E30" s="77">
        <f>75*2/60</f>
        <v>2.5</v>
      </c>
      <c r="F30" s="77">
        <f t="shared" si="1"/>
        <v>21.5</v>
      </c>
      <c r="G30" s="77" t="s">
        <v>78</v>
      </c>
      <c r="H30" s="74">
        <v>8425</v>
      </c>
      <c r="I30" s="45">
        <v>2016</v>
      </c>
      <c r="J30" s="44" t="s">
        <v>426</v>
      </c>
      <c r="K30" s="84" t="s">
        <v>427</v>
      </c>
    </row>
    <row r="31" spans="1:12" ht="42.75" x14ac:dyDescent="0.25">
      <c r="A31" s="55" t="s">
        <v>343</v>
      </c>
      <c r="B31" s="78">
        <f t="shared" si="0"/>
        <v>99249.59219178083</v>
      </c>
      <c r="C31" s="78">
        <v>2.59</v>
      </c>
      <c r="D31" s="78" t="s">
        <v>78</v>
      </c>
      <c r="E31" s="78">
        <f>600*0.2/60</f>
        <v>2</v>
      </c>
      <c r="F31" s="78">
        <f t="shared" si="1"/>
        <v>22</v>
      </c>
      <c r="G31" s="78" t="s">
        <v>78</v>
      </c>
      <c r="H31" s="73">
        <v>72473</v>
      </c>
      <c r="I31" s="56">
        <v>2016</v>
      </c>
      <c r="J31" s="55" t="s">
        <v>426</v>
      </c>
      <c r="K31" s="83" t="s">
        <v>427</v>
      </c>
    </row>
    <row r="32" spans="1:12" ht="42.75" x14ac:dyDescent="0.25">
      <c r="A32" s="44" t="s">
        <v>344</v>
      </c>
      <c r="B32" s="77">
        <f t="shared" si="0"/>
        <v>61708.126712328769</v>
      </c>
      <c r="C32" s="77">
        <v>2.25</v>
      </c>
      <c r="D32" s="77" t="s">
        <v>78</v>
      </c>
      <c r="E32" s="77">
        <f>600*0.2/60</f>
        <v>2</v>
      </c>
      <c r="F32" s="77">
        <f t="shared" si="1"/>
        <v>22</v>
      </c>
      <c r="G32" s="77" t="s">
        <v>78</v>
      </c>
      <c r="H32" s="74">
        <v>45065</v>
      </c>
      <c r="I32" s="45">
        <v>2016</v>
      </c>
      <c r="J32" s="44" t="s">
        <v>426</v>
      </c>
      <c r="K32" s="84" t="s">
        <v>427</v>
      </c>
    </row>
    <row r="33" spans="1:11" ht="42.75" x14ac:dyDescent="0.25">
      <c r="A33" s="55" t="s">
        <v>345</v>
      </c>
      <c r="B33" s="78">
        <f t="shared" si="0"/>
        <v>4121.4520547945203</v>
      </c>
      <c r="C33" s="78">
        <v>1.2</v>
      </c>
      <c r="D33" s="78" t="s">
        <v>78</v>
      </c>
      <c r="E33" s="78">
        <f>280*3/60</f>
        <v>14</v>
      </c>
      <c r="F33" s="78">
        <f t="shared" si="1"/>
        <v>10</v>
      </c>
      <c r="G33" s="78" t="s">
        <v>78</v>
      </c>
      <c r="H33" s="73">
        <v>21065</v>
      </c>
      <c r="I33" s="56">
        <v>2016</v>
      </c>
      <c r="J33" s="55" t="s">
        <v>426</v>
      </c>
      <c r="K33" s="83" t="s">
        <v>427</v>
      </c>
    </row>
    <row r="34" spans="1:11" ht="42.75" x14ac:dyDescent="0.25">
      <c r="A34" s="44" t="s">
        <v>346</v>
      </c>
      <c r="B34" s="77">
        <f t="shared" si="0"/>
        <v>3473.5068493150684</v>
      </c>
      <c r="C34" s="77">
        <v>1.2</v>
      </c>
      <c r="D34" s="77" t="s">
        <v>78</v>
      </c>
      <c r="E34" s="77">
        <f>280*3/60</f>
        <v>14</v>
      </c>
      <c r="F34" s="77">
        <f t="shared" si="1"/>
        <v>10</v>
      </c>
      <c r="G34" s="77" t="s">
        <v>78</v>
      </c>
      <c r="H34" s="74">
        <v>17754</v>
      </c>
      <c r="I34" s="45">
        <v>2016</v>
      </c>
      <c r="J34" s="44" t="s">
        <v>426</v>
      </c>
      <c r="K34" s="84" t="s">
        <v>427</v>
      </c>
    </row>
    <row r="35" spans="1:11" ht="42.75" x14ac:dyDescent="0.25">
      <c r="A35" s="55" t="s">
        <v>347</v>
      </c>
      <c r="B35" s="78">
        <f t="shared" si="0"/>
        <v>62391.09876712328</v>
      </c>
      <c r="C35" s="78">
        <v>1.93</v>
      </c>
      <c r="D35" s="78" t="s">
        <v>78</v>
      </c>
      <c r="E35" s="78">
        <f>400*0.3/60</f>
        <v>2</v>
      </c>
      <c r="F35" s="78">
        <f t="shared" si="1"/>
        <v>22</v>
      </c>
      <c r="G35" s="78" t="s">
        <v>78</v>
      </c>
      <c r="H35" s="73">
        <v>45561</v>
      </c>
      <c r="I35" s="56">
        <v>2016</v>
      </c>
      <c r="J35" s="55" t="s">
        <v>426</v>
      </c>
      <c r="K35" s="83" t="s">
        <v>427</v>
      </c>
    </row>
    <row r="36" spans="1:11" ht="42.75" x14ac:dyDescent="0.25">
      <c r="A36" s="44" t="s">
        <v>348</v>
      </c>
      <c r="B36" s="77">
        <f t="shared" si="0"/>
        <v>39125.965753424658</v>
      </c>
      <c r="C36" s="77">
        <v>1.5</v>
      </c>
      <c r="D36" s="77" t="s">
        <v>78</v>
      </c>
      <c r="E36" s="77">
        <f>400*0.3/60</f>
        <v>2</v>
      </c>
      <c r="F36" s="77">
        <f t="shared" si="1"/>
        <v>22</v>
      </c>
      <c r="G36" s="77" t="s">
        <v>78</v>
      </c>
      <c r="H36" s="74">
        <v>28574</v>
      </c>
      <c r="I36" s="45">
        <v>2016</v>
      </c>
      <c r="J36" s="44" t="s">
        <v>426</v>
      </c>
      <c r="K36" s="84" t="s">
        <v>427</v>
      </c>
    </row>
    <row r="37" spans="1:11" ht="42.75" x14ac:dyDescent="0.25">
      <c r="A37" s="55" t="s">
        <v>349</v>
      </c>
      <c r="B37" s="78">
        <f t="shared" si="0"/>
        <v>15371.928375733856</v>
      </c>
      <c r="C37" s="78">
        <v>0.6</v>
      </c>
      <c r="D37" s="78" t="s">
        <v>78</v>
      </c>
      <c r="E37" s="78">
        <f>280*1.5/60</f>
        <v>7</v>
      </c>
      <c r="F37" s="78">
        <f t="shared" si="1"/>
        <v>17</v>
      </c>
      <c r="G37" s="78" t="s">
        <v>78</v>
      </c>
      <c r="H37" s="73">
        <v>39279</v>
      </c>
      <c r="I37" s="56">
        <v>2016</v>
      </c>
      <c r="J37" s="55" t="s">
        <v>426</v>
      </c>
      <c r="K37" s="83" t="s">
        <v>427</v>
      </c>
    </row>
    <row r="38" spans="1:11" ht="42.75" x14ac:dyDescent="0.25">
      <c r="A38" s="44" t="s">
        <v>300</v>
      </c>
      <c r="B38" s="77">
        <f t="shared" ref="B38:B61" si="2">H38/E38/365*1000</f>
        <v>4173.9726027397255</v>
      </c>
      <c r="C38" s="77" t="s">
        <v>78</v>
      </c>
      <c r="D38" s="77" t="s">
        <v>78</v>
      </c>
      <c r="E38" s="77">
        <v>12</v>
      </c>
      <c r="F38" s="77" t="s">
        <v>78</v>
      </c>
      <c r="G38" s="77" t="s">
        <v>78</v>
      </c>
      <c r="H38" s="74">
        <v>18282</v>
      </c>
      <c r="I38" s="45">
        <v>2016</v>
      </c>
      <c r="J38" s="44" t="s">
        <v>426</v>
      </c>
      <c r="K38" s="84" t="s">
        <v>427</v>
      </c>
    </row>
    <row r="39" spans="1:11" ht="42.75" x14ac:dyDescent="0.25">
      <c r="A39" s="55" t="s">
        <v>301</v>
      </c>
      <c r="B39" s="78">
        <f t="shared" si="2"/>
        <v>2720.0913242009133</v>
      </c>
      <c r="C39" s="78" t="s">
        <v>78</v>
      </c>
      <c r="D39" s="78" t="s">
        <v>78</v>
      </c>
      <c r="E39" s="78">
        <v>12</v>
      </c>
      <c r="F39" s="78" t="s">
        <v>78</v>
      </c>
      <c r="G39" s="78" t="s">
        <v>78</v>
      </c>
      <c r="H39" s="73">
        <v>11914</v>
      </c>
      <c r="I39" s="56">
        <v>2016</v>
      </c>
      <c r="J39" s="55" t="s">
        <v>426</v>
      </c>
      <c r="K39" s="83" t="s">
        <v>427</v>
      </c>
    </row>
    <row r="40" spans="1:11" ht="42.75" x14ac:dyDescent="0.25">
      <c r="A40" s="44" t="s">
        <v>302</v>
      </c>
      <c r="B40" s="77">
        <f t="shared" si="2"/>
        <v>2753.1963470319638</v>
      </c>
      <c r="C40" s="77" t="s">
        <v>78</v>
      </c>
      <c r="D40" s="77" t="s">
        <v>78</v>
      </c>
      <c r="E40" s="77">
        <v>12</v>
      </c>
      <c r="F40" s="77" t="s">
        <v>78</v>
      </c>
      <c r="G40" s="77" t="s">
        <v>78</v>
      </c>
      <c r="H40" s="74">
        <v>12059</v>
      </c>
      <c r="I40" s="45">
        <v>2016</v>
      </c>
      <c r="J40" s="44" t="s">
        <v>426</v>
      </c>
      <c r="K40" s="84" t="s">
        <v>427</v>
      </c>
    </row>
    <row r="41" spans="1:11" ht="42.75" x14ac:dyDescent="0.25">
      <c r="A41" s="55" t="s">
        <v>303</v>
      </c>
      <c r="B41" s="78">
        <f t="shared" si="2"/>
        <v>2310.9589041095892</v>
      </c>
      <c r="C41" s="78" t="s">
        <v>78</v>
      </c>
      <c r="D41" s="78" t="s">
        <v>78</v>
      </c>
      <c r="E41" s="78">
        <v>12</v>
      </c>
      <c r="F41" s="78" t="s">
        <v>78</v>
      </c>
      <c r="G41" s="78" t="s">
        <v>78</v>
      </c>
      <c r="H41" s="73">
        <v>10122</v>
      </c>
      <c r="I41" s="56">
        <v>2016</v>
      </c>
      <c r="J41" s="55" t="s">
        <v>426</v>
      </c>
      <c r="K41" s="83" t="s">
        <v>427</v>
      </c>
    </row>
    <row r="42" spans="1:11" ht="42.75" x14ac:dyDescent="0.25">
      <c r="A42" s="44" t="s">
        <v>304</v>
      </c>
      <c r="B42" s="77">
        <f t="shared" si="2"/>
        <v>1736.3013698630136</v>
      </c>
      <c r="C42" s="77" t="s">
        <v>78</v>
      </c>
      <c r="D42" s="77" t="s">
        <v>78</v>
      </c>
      <c r="E42" s="77">
        <v>12</v>
      </c>
      <c r="F42" s="77" t="s">
        <v>78</v>
      </c>
      <c r="G42" s="77" t="s">
        <v>78</v>
      </c>
      <c r="H42" s="74">
        <v>7605</v>
      </c>
      <c r="I42" s="45">
        <v>2016</v>
      </c>
      <c r="J42" s="44" t="s">
        <v>426</v>
      </c>
      <c r="K42" s="84" t="s">
        <v>427</v>
      </c>
    </row>
    <row r="43" spans="1:11" ht="42.75" x14ac:dyDescent="0.25">
      <c r="A43" s="55" t="s">
        <v>305</v>
      </c>
      <c r="B43" s="78">
        <f t="shared" si="2"/>
        <v>1692.4657534246574</v>
      </c>
      <c r="C43" s="78" t="s">
        <v>78</v>
      </c>
      <c r="D43" s="78" t="s">
        <v>78</v>
      </c>
      <c r="E43" s="78">
        <v>12</v>
      </c>
      <c r="F43" s="78" t="s">
        <v>78</v>
      </c>
      <c r="G43" s="78" t="s">
        <v>78</v>
      </c>
      <c r="H43" s="73">
        <v>7413</v>
      </c>
      <c r="I43" s="56">
        <v>2016</v>
      </c>
      <c r="J43" s="55" t="s">
        <v>426</v>
      </c>
      <c r="K43" s="83" t="s">
        <v>427</v>
      </c>
    </row>
    <row r="44" spans="1:11" ht="42.75" x14ac:dyDescent="0.25">
      <c r="A44" s="44" t="s">
        <v>306</v>
      </c>
      <c r="B44" s="77">
        <f t="shared" si="2"/>
        <v>4163.4703196347036</v>
      </c>
      <c r="C44" s="77" t="s">
        <v>78</v>
      </c>
      <c r="D44" s="77" t="s">
        <v>78</v>
      </c>
      <c r="E44" s="77">
        <v>12</v>
      </c>
      <c r="F44" s="77" t="s">
        <v>78</v>
      </c>
      <c r="G44" s="77" t="s">
        <v>78</v>
      </c>
      <c r="H44" s="74">
        <v>18236</v>
      </c>
      <c r="I44" s="45">
        <v>2016</v>
      </c>
      <c r="J44" s="44" t="s">
        <v>426</v>
      </c>
      <c r="K44" s="84" t="s">
        <v>427</v>
      </c>
    </row>
    <row r="45" spans="1:11" ht="42.75" x14ac:dyDescent="0.25">
      <c r="A45" s="55" t="s">
        <v>307</v>
      </c>
      <c r="B45" s="78">
        <f t="shared" si="2"/>
        <v>3584.4748858447488</v>
      </c>
      <c r="C45" s="78" t="s">
        <v>78</v>
      </c>
      <c r="D45" s="78" t="s">
        <v>78</v>
      </c>
      <c r="E45" s="78">
        <v>12</v>
      </c>
      <c r="F45" s="78" t="s">
        <v>78</v>
      </c>
      <c r="G45" s="78" t="s">
        <v>78</v>
      </c>
      <c r="H45" s="73">
        <v>15700</v>
      </c>
      <c r="I45" s="56">
        <v>2016</v>
      </c>
      <c r="J45" s="55" t="s">
        <v>426</v>
      </c>
      <c r="K45" s="83" t="s">
        <v>427</v>
      </c>
    </row>
    <row r="46" spans="1:11" ht="42.75" x14ac:dyDescent="0.25">
      <c r="A46" s="44" t="s">
        <v>308</v>
      </c>
      <c r="B46" s="77">
        <f t="shared" si="2"/>
        <v>3114.5547945205481</v>
      </c>
      <c r="C46" s="77" t="s">
        <v>78</v>
      </c>
      <c r="D46" s="77" t="s">
        <v>78</v>
      </c>
      <c r="E46" s="77">
        <v>16</v>
      </c>
      <c r="F46" s="77" t="s">
        <v>78</v>
      </c>
      <c r="G46" s="77" t="s">
        <v>78</v>
      </c>
      <c r="H46" s="74">
        <v>18189</v>
      </c>
      <c r="I46" s="45">
        <v>2016</v>
      </c>
      <c r="J46" s="44" t="s">
        <v>426</v>
      </c>
      <c r="K46" s="84" t="s">
        <v>427</v>
      </c>
    </row>
    <row r="47" spans="1:11" ht="42.75" x14ac:dyDescent="0.25">
      <c r="A47" s="55" t="s">
        <v>309</v>
      </c>
      <c r="B47" s="78">
        <f t="shared" si="2"/>
        <v>2579.2808219178082</v>
      </c>
      <c r="C47" s="78" t="s">
        <v>78</v>
      </c>
      <c r="D47" s="78" t="s">
        <v>78</v>
      </c>
      <c r="E47" s="78">
        <v>16</v>
      </c>
      <c r="F47" s="78" t="s">
        <v>78</v>
      </c>
      <c r="G47" s="78" t="s">
        <v>78</v>
      </c>
      <c r="H47" s="73">
        <v>15063</v>
      </c>
      <c r="I47" s="56">
        <v>2016</v>
      </c>
      <c r="J47" s="55" t="s">
        <v>426</v>
      </c>
      <c r="K47" s="83" t="s">
        <v>427</v>
      </c>
    </row>
    <row r="48" spans="1:11" ht="42.75" x14ac:dyDescent="0.25">
      <c r="A48" s="44" t="s">
        <v>310</v>
      </c>
      <c r="B48" s="77">
        <f t="shared" si="2"/>
        <v>3610.7305936073062</v>
      </c>
      <c r="C48" s="77" t="s">
        <v>78</v>
      </c>
      <c r="D48" s="77" t="s">
        <v>78</v>
      </c>
      <c r="E48" s="77">
        <v>12</v>
      </c>
      <c r="F48" s="77" t="s">
        <v>78</v>
      </c>
      <c r="G48" s="77" t="s">
        <v>78</v>
      </c>
      <c r="H48" s="74">
        <v>15815</v>
      </c>
      <c r="I48" s="45">
        <v>2016</v>
      </c>
      <c r="J48" s="44" t="s">
        <v>426</v>
      </c>
      <c r="K48" s="84" t="s">
        <v>427</v>
      </c>
    </row>
    <row r="49" spans="1:11" ht="42.75" x14ac:dyDescent="0.25">
      <c r="A49" s="55" t="s">
        <v>311</v>
      </c>
      <c r="B49" s="78">
        <f t="shared" si="2"/>
        <v>3174.6575342465753</v>
      </c>
      <c r="C49" s="78" t="s">
        <v>78</v>
      </c>
      <c r="D49" s="78" t="s">
        <v>78</v>
      </c>
      <c r="E49" s="78">
        <v>12</v>
      </c>
      <c r="F49" s="78" t="s">
        <v>78</v>
      </c>
      <c r="G49" s="78" t="s">
        <v>78</v>
      </c>
      <c r="H49" s="73">
        <v>13905</v>
      </c>
      <c r="I49" s="56">
        <v>2016</v>
      </c>
      <c r="J49" s="55" t="s">
        <v>426</v>
      </c>
      <c r="K49" s="83" t="s">
        <v>427</v>
      </c>
    </row>
    <row r="50" spans="1:11" ht="42.75" x14ac:dyDescent="0.25">
      <c r="A50" s="44" t="s">
        <v>312</v>
      </c>
      <c r="B50" s="77">
        <f t="shared" si="2"/>
        <v>936.75799086757991</v>
      </c>
      <c r="C50" s="77" t="s">
        <v>78</v>
      </c>
      <c r="D50" s="77" t="s">
        <v>78</v>
      </c>
      <c r="E50" s="77">
        <v>12</v>
      </c>
      <c r="F50" s="77" t="s">
        <v>78</v>
      </c>
      <c r="G50" s="77" t="s">
        <v>78</v>
      </c>
      <c r="H50" s="74">
        <v>4103</v>
      </c>
      <c r="I50" s="45">
        <v>2016</v>
      </c>
      <c r="J50" s="44" t="s">
        <v>426</v>
      </c>
      <c r="K50" s="84" t="s">
        <v>427</v>
      </c>
    </row>
    <row r="51" spans="1:11" ht="42.75" x14ac:dyDescent="0.25">
      <c r="A51" s="55" t="s">
        <v>313</v>
      </c>
      <c r="B51" s="78">
        <f t="shared" si="2"/>
        <v>480.365296803653</v>
      </c>
      <c r="C51" s="78" t="s">
        <v>78</v>
      </c>
      <c r="D51" s="78" t="s">
        <v>78</v>
      </c>
      <c r="E51" s="78">
        <v>12</v>
      </c>
      <c r="F51" s="78" t="s">
        <v>78</v>
      </c>
      <c r="G51" s="78" t="s">
        <v>78</v>
      </c>
      <c r="H51" s="73">
        <v>2104</v>
      </c>
      <c r="I51" s="56">
        <v>2016</v>
      </c>
      <c r="J51" s="55" t="s">
        <v>426</v>
      </c>
      <c r="K51" s="83" t="s">
        <v>427</v>
      </c>
    </row>
    <row r="52" spans="1:11" ht="42.75" x14ac:dyDescent="0.25">
      <c r="A52" s="44" t="s">
        <v>314</v>
      </c>
      <c r="B52" s="77">
        <f t="shared" si="2"/>
        <v>681.27853881278531</v>
      </c>
      <c r="C52" s="77" t="s">
        <v>78</v>
      </c>
      <c r="D52" s="77" t="s">
        <v>78</v>
      </c>
      <c r="E52" s="77">
        <v>12</v>
      </c>
      <c r="F52" s="77" t="s">
        <v>78</v>
      </c>
      <c r="G52" s="77" t="s">
        <v>78</v>
      </c>
      <c r="H52" s="74">
        <v>2984</v>
      </c>
      <c r="I52" s="45">
        <v>2016</v>
      </c>
      <c r="J52" s="44" t="s">
        <v>426</v>
      </c>
      <c r="K52" s="84" t="s">
        <v>427</v>
      </c>
    </row>
    <row r="53" spans="1:11" ht="42.75" x14ac:dyDescent="0.25">
      <c r="A53" s="55" t="s">
        <v>315</v>
      </c>
      <c r="B53" s="78">
        <f t="shared" si="2"/>
        <v>414.15525114155247</v>
      </c>
      <c r="C53" s="78" t="s">
        <v>78</v>
      </c>
      <c r="D53" s="78" t="s">
        <v>78</v>
      </c>
      <c r="E53" s="78">
        <v>12</v>
      </c>
      <c r="F53" s="78" t="s">
        <v>78</v>
      </c>
      <c r="G53" s="78" t="s">
        <v>78</v>
      </c>
      <c r="H53" s="73">
        <v>1814</v>
      </c>
      <c r="I53" s="56">
        <v>2016</v>
      </c>
      <c r="J53" s="55" t="s">
        <v>426</v>
      </c>
      <c r="K53" s="83" t="s">
        <v>427</v>
      </c>
    </row>
    <row r="54" spans="1:11" ht="42.75" x14ac:dyDescent="0.25">
      <c r="A54" s="44" t="s">
        <v>316</v>
      </c>
      <c r="B54" s="77">
        <f t="shared" si="2"/>
        <v>4018.0365296803648</v>
      </c>
      <c r="C54" s="77" t="s">
        <v>78</v>
      </c>
      <c r="D54" s="77" t="s">
        <v>78</v>
      </c>
      <c r="E54" s="77">
        <v>12</v>
      </c>
      <c r="F54" s="77" t="s">
        <v>78</v>
      </c>
      <c r="G54" s="77" t="s">
        <v>78</v>
      </c>
      <c r="H54" s="74">
        <v>17599</v>
      </c>
      <c r="I54" s="45">
        <v>2016</v>
      </c>
      <c r="J54" s="44" t="s">
        <v>426</v>
      </c>
      <c r="K54" s="84" t="s">
        <v>427</v>
      </c>
    </row>
    <row r="55" spans="1:11" ht="42.75" x14ac:dyDescent="0.25">
      <c r="A55" s="55" t="s">
        <v>317</v>
      </c>
      <c r="B55" s="78">
        <f t="shared" si="2"/>
        <v>1742.4657534246576</v>
      </c>
      <c r="C55" s="78" t="s">
        <v>78</v>
      </c>
      <c r="D55" s="78" t="s">
        <v>78</v>
      </c>
      <c r="E55" s="78">
        <v>12</v>
      </c>
      <c r="F55" s="78" t="s">
        <v>78</v>
      </c>
      <c r="G55" s="78" t="s">
        <v>78</v>
      </c>
      <c r="H55" s="73">
        <v>7632</v>
      </c>
      <c r="I55" s="56">
        <v>2016</v>
      </c>
      <c r="J55" s="55" t="s">
        <v>426</v>
      </c>
      <c r="K55" s="83" t="s">
        <v>427</v>
      </c>
    </row>
    <row r="56" spans="1:11" ht="42.75" x14ac:dyDescent="0.25">
      <c r="A56" s="44" t="s">
        <v>350</v>
      </c>
      <c r="B56" s="77">
        <f t="shared" si="2"/>
        <v>1233.3333333333335</v>
      </c>
      <c r="C56" s="77" t="s">
        <v>78</v>
      </c>
      <c r="D56" s="77" t="s">
        <v>78</v>
      </c>
      <c r="E56" s="77">
        <v>24</v>
      </c>
      <c r="F56" s="77" t="s">
        <v>78</v>
      </c>
      <c r="G56" s="77" t="s">
        <v>78</v>
      </c>
      <c r="H56" s="74">
        <v>10804</v>
      </c>
      <c r="I56" s="45">
        <v>2016</v>
      </c>
      <c r="J56" s="44" t="s">
        <v>426</v>
      </c>
      <c r="K56" s="84" t="s">
        <v>427</v>
      </c>
    </row>
    <row r="57" spans="1:11" ht="42.75" x14ac:dyDescent="0.25">
      <c r="A57" s="55" t="s">
        <v>351</v>
      </c>
      <c r="B57" s="78">
        <f t="shared" si="2"/>
        <v>695.89041095890411</v>
      </c>
      <c r="C57" s="78" t="s">
        <v>78</v>
      </c>
      <c r="D57" s="78" t="s">
        <v>78</v>
      </c>
      <c r="E57" s="78">
        <v>24</v>
      </c>
      <c r="F57" s="78" t="s">
        <v>78</v>
      </c>
      <c r="G57" s="78" t="s">
        <v>78</v>
      </c>
      <c r="H57" s="73">
        <v>6096</v>
      </c>
      <c r="I57" s="56">
        <v>2016</v>
      </c>
      <c r="J57" s="55" t="s">
        <v>426</v>
      </c>
      <c r="K57" s="83" t="s">
        <v>427</v>
      </c>
    </row>
    <row r="58" spans="1:11" ht="42.75" x14ac:dyDescent="0.25">
      <c r="A58" s="44" t="s">
        <v>352</v>
      </c>
      <c r="B58" s="77">
        <f t="shared" si="2"/>
        <v>640.86757990867579</v>
      </c>
      <c r="C58" s="77" t="s">
        <v>78</v>
      </c>
      <c r="D58" s="77" t="s">
        <v>78</v>
      </c>
      <c r="E58" s="77">
        <v>24</v>
      </c>
      <c r="F58" s="77" t="s">
        <v>78</v>
      </c>
      <c r="G58" s="77" t="s">
        <v>78</v>
      </c>
      <c r="H58" s="74">
        <v>5614</v>
      </c>
      <c r="I58" s="45">
        <v>2016</v>
      </c>
      <c r="J58" s="44" t="s">
        <v>426</v>
      </c>
      <c r="K58" s="84" t="s">
        <v>427</v>
      </c>
    </row>
    <row r="59" spans="1:11" ht="42.75" x14ac:dyDescent="0.25">
      <c r="A59" s="55" t="s">
        <v>353</v>
      </c>
      <c r="B59" s="78">
        <f t="shared" si="2"/>
        <v>397.94520547945206</v>
      </c>
      <c r="C59" s="78" t="s">
        <v>78</v>
      </c>
      <c r="D59" s="78" t="s">
        <v>78</v>
      </c>
      <c r="E59" s="78">
        <v>24</v>
      </c>
      <c r="F59" s="78" t="s">
        <v>78</v>
      </c>
      <c r="G59" s="78" t="s">
        <v>78</v>
      </c>
      <c r="H59" s="73">
        <v>3486</v>
      </c>
      <c r="I59" s="56">
        <v>2016</v>
      </c>
      <c r="J59" s="55" t="s">
        <v>426</v>
      </c>
      <c r="K59" s="83" t="s">
        <v>427</v>
      </c>
    </row>
    <row r="60" spans="1:11" ht="42.75" x14ac:dyDescent="0.25">
      <c r="A60" s="44" t="s">
        <v>318</v>
      </c>
      <c r="B60" s="77">
        <f t="shared" si="2"/>
        <v>600</v>
      </c>
      <c r="C60" s="77" t="s">
        <v>78</v>
      </c>
      <c r="D60" s="77" t="s">
        <v>78</v>
      </c>
      <c r="E60" s="77">
        <v>15</v>
      </c>
      <c r="F60" s="77" t="s">
        <v>78</v>
      </c>
      <c r="G60" s="77" t="s">
        <v>78</v>
      </c>
      <c r="H60" s="74">
        <v>3285</v>
      </c>
      <c r="I60" s="45">
        <v>2016</v>
      </c>
      <c r="J60" s="44" t="s">
        <v>426</v>
      </c>
      <c r="K60" s="84" t="s">
        <v>427</v>
      </c>
    </row>
    <row r="61" spans="1:11" ht="42.75" x14ac:dyDescent="0.25">
      <c r="A61" s="55" t="s">
        <v>319</v>
      </c>
      <c r="B61" s="78">
        <f t="shared" si="2"/>
        <v>284.01826484018267</v>
      </c>
      <c r="C61" s="78" t="s">
        <v>78</v>
      </c>
      <c r="D61" s="78" t="s">
        <v>78</v>
      </c>
      <c r="E61" s="78">
        <v>15</v>
      </c>
      <c r="F61" s="78" t="s">
        <v>78</v>
      </c>
      <c r="G61" s="78" t="s">
        <v>78</v>
      </c>
      <c r="H61" s="73">
        <v>1555</v>
      </c>
      <c r="I61" s="56">
        <v>2016</v>
      </c>
      <c r="J61" s="55" t="s">
        <v>426</v>
      </c>
      <c r="K61" s="83" t="s">
        <v>427</v>
      </c>
    </row>
    <row r="62" spans="1:11" ht="42.75" x14ac:dyDescent="0.25">
      <c r="A62" s="44" t="s">
        <v>320</v>
      </c>
      <c r="B62" s="77" t="s">
        <v>78</v>
      </c>
      <c r="C62" s="77" t="s">
        <v>78</v>
      </c>
      <c r="D62" s="77" t="s">
        <v>78</v>
      </c>
      <c r="E62" s="77" t="s">
        <v>78</v>
      </c>
      <c r="F62" s="77" t="s">
        <v>78</v>
      </c>
      <c r="G62" s="77" t="s">
        <v>78</v>
      </c>
      <c r="H62" s="74">
        <v>10988</v>
      </c>
      <c r="I62" s="45">
        <v>2016</v>
      </c>
      <c r="J62" s="44" t="s">
        <v>426</v>
      </c>
      <c r="K62" s="84" t="s">
        <v>427</v>
      </c>
    </row>
    <row r="63" spans="1:11" ht="42.75" x14ac:dyDescent="0.25">
      <c r="A63" s="55" t="s">
        <v>321</v>
      </c>
      <c r="B63" s="78" t="s">
        <v>78</v>
      </c>
      <c r="C63" s="78" t="s">
        <v>78</v>
      </c>
      <c r="D63" s="78" t="s">
        <v>78</v>
      </c>
      <c r="E63" s="78" t="s">
        <v>78</v>
      </c>
      <c r="F63" s="78" t="s">
        <v>78</v>
      </c>
      <c r="G63" s="78" t="s">
        <v>78</v>
      </c>
      <c r="H63" s="73">
        <v>9741</v>
      </c>
      <c r="I63" s="56">
        <v>2016</v>
      </c>
      <c r="J63" s="55" t="s">
        <v>426</v>
      </c>
      <c r="K63" s="83" t="s">
        <v>427</v>
      </c>
    </row>
    <row r="64" spans="1:11" ht="42.75" x14ac:dyDescent="0.25">
      <c r="A64" s="44" t="s">
        <v>322</v>
      </c>
      <c r="B64" s="77" t="s">
        <v>78</v>
      </c>
      <c r="C64" s="77" t="s">
        <v>78</v>
      </c>
      <c r="D64" s="77" t="s">
        <v>78</v>
      </c>
      <c r="E64" s="77" t="s">
        <v>78</v>
      </c>
      <c r="F64" s="77" t="s">
        <v>78</v>
      </c>
      <c r="G64" s="77" t="s">
        <v>78</v>
      </c>
      <c r="H64" s="74">
        <v>16055</v>
      </c>
      <c r="I64" s="45">
        <v>2016</v>
      </c>
      <c r="J64" s="44" t="s">
        <v>426</v>
      </c>
      <c r="K64" s="84" t="s">
        <v>427</v>
      </c>
    </row>
    <row r="65" spans="1:11" ht="42.75" x14ac:dyDescent="0.25">
      <c r="A65" s="55" t="s">
        <v>323</v>
      </c>
      <c r="B65" s="78" t="s">
        <v>78</v>
      </c>
      <c r="C65" s="78" t="s">
        <v>78</v>
      </c>
      <c r="D65" s="78" t="s">
        <v>78</v>
      </c>
      <c r="E65" s="78" t="s">
        <v>78</v>
      </c>
      <c r="F65" s="78" t="s">
        <v>78</v>
      </c>
      <c r="G65" s="78" t="s">
        <v>78</v>
      </c>
      <c r="H65" s="73">
        <v>14875</v>
      </c>
      <c r="I65" s="56">
        <v>2016</v>
      </c>
      <c r="J65" s="55" t="s">
        <v>426</v>
      </c>
      <c r="K65" s="83" t="s">
        <v>427</v>
      </c>
    </row>
    <row r="66" spans="1:11" ht="42.75" x14ac:dyDescent="0.25">
      <c r="A66" s="44" t="s">
        <v>324</v>
      </c>
      <c r="B66" s="77" t="s">
        <v>78</v>
      </c>
      <c r="C66" s="77" t="s">
        <v>78</v>
      </c>
      <c r="D66" s="77" t="s">
        <v>78</v>
      </c>
      <c r="E66" s="77" t="s">
        <v>78</v>
      </c>
      <c r="F66" s="77" t="s">
        <v>78</v>
      </c>
      <c r="G66" s="77" t="s">
        <v>78</v>
      </c>
      <c r="H66" s="74">
        <v>4666</v>
      </c>
      <c r="I66" s="45">
        <v>2016</v>
      </c>
      <c r="J66" s="44" t="s">
        <v>426</v>
      </c>
      <c r="K66" s="84" t="s">
        <v>427</v>
      </c>
    </row>
    <row r="67" spans="1:11" ht="42.75" x14ac:dyDescent="0.25">
      <c r="A67" s="55" t="s">
        <v>325</v>
      </c>
      <c r="B67" s="78" t="s">
        <v>78</v>
      </c>
      <c r="C67" s="78" t="s">
        <v>78</v>
      </c>
      <c r="D67" s="78" t="s">
        <v>78</v>
      </c>
      <c r="E67" s="78" t="s">
        <v>78</v>
      </c>
      <c r="F67" s="78" t="s">
        <v>78</v>
      </c>
      <c r="G67" s="78" t="s">
        <v>78</v>
      </c>
      <c r="H67" s="73">
        <v>4282</v>
      </c>
      <c r="I67" s="56">
        <v>2016</v>
      </c>
      <c r="J67" s="55" t="s">
        <v>426</v>
      </c>
      <c r="K67" s="83" t="s">
        <v>427</v>
      </c>
    </row>
    <row r="68" spans="1:11" ht="42.75" x14ac:dyDescent="0.25">
      <c r="A68" s="44" t="s">
        <v>326</v>
      </c>
      <c r="B68" s="77" t="s">
        <v>78</v>
      </c>
      <c r="C68" s="77" t="s">
        <v>78</v>
      </c>
      <c r="D68" s="77" t="s">
        <v>78</v>
      </c>
      <c r="E68" s="77" t="s">
        <v>78</v>
      </c>
      <c r="F68" s="77" t="s">
        <v>78</v>
      </c>
      <c r="G68" s="77" t="s">
        <v>78</v>
      </c>
      <c r="H68" s="74">
        <v>13644</v>
      </c>
      <c r="I68" s="45">
        <v>2016</v>
      </c>
      <c r="J68" s="44" t="s">
        <v>426</v>
      </c>
      <c r="K68" s="84" t="s">
        <v>427</v>
      </c>
    </row>
    <row r="69" spans="1:11" ht="42.75" x14ac:dyDescent="0.25">
      <c r="A69" s="55" t="s">
        <v>327</v>
      </c>
      <c r="B69" s="78" t="s">
        <v>78</v>
      </c>
      <c r="C69" s="78" t="s">
        <v>78</v>
      </c>
      <c r="D69" s="78" t="s">
        <v>78</v>
      </c>
      <c r="E69" s="78" t="s">
        <v>78</v>
      </c>
      <c r="F69" s="78" t="s">
        <v>78</v>
      </c>
      <c r="G69" s="78" t="s">
        <v>78</v>
      </c>
      <c r="H69" s="73">
        <v>11783</v>
      </c>
      <c r="I69" s="56">
        <v>2016</v>
      </c>
      <c r="J69" s="55" t="s">
        <v>426</v>
      </c>
      <c r="K69" s="83" t="s">
        <v>427</v>
      </c>
    </row>
    <row r="70" spans="1:11" ht="43.15" customHeight="1" x14ac:dyDescent="0.25">
      <c r="A70" s="44" t="s">
        <v>328</v>
      </c>
      <c r="B70" s="77" t="s">
        <v>78</v>
      </c>
      <c r="C70" s="77" t="s">
        <v>78</v>
      </c>
      <c r="D70" s="77" t="s">
        <v>78</v>
      </c>
      <c r="E70" s="77" t="s">
        <v>78</v>
      </c>
      <c r="F70" s="77" t="s">
        <v>78</v>
      </c>
      <c r="G70" s="77" t="s">
        <v>78</v>
      </c>
      <c r="H70" s="74">
        <v>19571</v>
      </c>
      <c r="I70" s="45">
        <v>2016</v>
      </c>
      <c r="J70" s="44" t="s">
        <v>426</v>
      </c>
      <c r="K70" s="84" t="s">
        <v>427</v>
      </c>
    </row>
    <row r="71" spans="1:11" ht="42.75" x14ac:dyDescent="0.25">
      <c r="A71" s="55" t="s">
        <v>329</v>
      </c>
      <c r="B71" s="78" t="s">
        <v>78</v>
      </c>
      <c r="C71" s="78" t="s">
        <v>78</v>
      </c>
      <c r="D71" s="78" t="s">
        <v>78</v>
      </c>
      <c r="E71" s="78" t="s">
        <v>78</v>
      </c>
      <c r="F71" s="78" t="s">
        <v>78</v>
      </c>
      <c r="G71" s="78" t="s">
        <v>78</v>
      </c>
      <c r="H71" s="73">
        <v>17329</v>
      </c>
      <c r="I71" s="56">
        <v>2016</v>
      </c>
      <c r="J71" s="55" t="s">
        <v>426</v>
      </c>
      <c r="K71" s="83" t="s">
        <v>427</v>
      </c>
    </row>
    <row r="72" spans="1:11" ht="42.75" x14ac:dyDescent="0.25">
      <c r="A72" s="44" t="s">
        <v>330</v>
      </c>
      <c r="B72" s="77" t="s">
        <v>78</v>
      </c>
      <c r="C72" s="77" t="s">
        <v>78</v>
      </c>
      <c r="D72" s="77" t="s">
        <v>78</v>
      </c>
      <c r="E72" s="77" t="s">
        <v>78</v>
      </c>
      <c r="F72" s="77" t="s">
        <v>78</v>
      </c>
      <c r="G72" s="77" t="s">
        <v>78</v>
      </c>
      <c r="H72" s="74">
        <v>6215</v>
      </c>
      <c r="I72" s="45">
        <v>2016</v>
      </c>
      <c r="J72" s="44" t="s">
        <v>426</v>
      </c>
      <c r="K72" s="84" t="s">
        <v>427</v>
      </c>
    </row>
    <row r="73" spans="1:11" ht="42.75" x14ac:dyDescent="0.25">
      <c r="A73" s="55" t="s">
        <v>331</v>
      </c>
      <c r="B73" s="78" t="s">
        <v>78</v>
      </c>
      <c r="C73" s="78" t="s">
        <v>78</v>
      </c>
      <c r="D73" s="78" t="s">
        <v>78</v>
      </c>
      <c r="E73" s="78" t="s">
        <v>78</v>
      </c>
      <c r="F73" s="78" t="s">
        <v>78</v>
      </c>
      <c r="G73" s="78" t="s">
        <v>78</v>
      </c>
      <c r="H73" s="73">
        <v>5821</v>
      </c>
      <c r="I73" s="56">
        <v>2016</v>
      </c>
      <c r="J73" s="55" t="s">
        <v>426</v>
      </c>
      <c r="K73" s="83" t="s">
        <v>427</v>
      </c>
    </row>
    <row r="74" spans="1:11" ht="42.75" x14ac:dyDescent="0.25">
      <c r="A74" s="44" t="s">
        <v>354</v>
      </c>
      <c r="B74" s="77">
        <f>H74/E74/365*1000</f>
        <v>314.15525114155253</v>
      </c>
      <c r="C74" s="77" t="s">
        <v>78</v>
      </c>
      <c r="D74" s="77" t="s">
        <v>78</v>
      </c>
      <c r="E74" s="77">
        <v>24</v>
      </c>
      <c r="F74" s="77" t="s">
        <v>78</v>
      </c>
      <c r="G74" s="77" t="s">
        <v>78</v>
      </c>
      <c r="H74" s="74">
        <v>2752</v>
      </c>
      <c r="I74" s="45">
        <v>2016</v>
      </c>
      <c r="J74" s="44" t="s">
        <v>426</v>
      </c>
      <c r="K74" s="84" t="s">
        <v>427</v>
      </c>
    </row>
    <row r="75" spans="1:11" ht="42.75" x14ac:dyDescent="0.25">
      <c r="A75" s="55" t="s">
        <v>355</v>
      </c>
      <c r="B75" s="78">
        <f>H75/E75/365*1000</f>
        <v>213.35616438356163</v>
      </c>
      <c r="C75" s="78" t="s">
        <v>78</v>
      </c>
      <c r="D75" s="78" t="s">
        <v>78</v>
      </c>
      <c r="E75" s="78">
        <v>24</v>
      </c>
      <c r="F75" s="78" t="s">
        <v>78</v>
      </c>
      <c r="G75" s="78" t="s">
        <v>78</v>
      </c>
      <c r="H75" s="73">
        <v>1869</v>
      </c>
      <c r="I75" s="56">
        <v>2016</v>
      </c>
      <c r="J75" s="55" t="s">
        <v>426</v>
      </c>
      <c r="K75" s="83" t="s">
        <v>427</v>
      </c>
    </row>
    <row r="76" spans="1:11" ht="42.75" x14ac:dyDescent="0.25">
      <c r="A76" s="44" t="s">
        <v>356</v>
      </c>
      <c r="B76" s="77">
        <f>H76/E76/365*1000</f>
        <v>230.82191780821918</v>
      </c>
      <c r="C76" s="77" t="s">
        <v>78</v>
      </c>
      <c r="D76" s="77" t="s">
        <v>78</v>
      </c>
      <c r="E76" s="77">
        <v>24</v>
      </c>
      <c r="F76" s="77" t="s">
        <v>78</v>
      </c>
      <c r="G76" s="77" t="s">
        <v>78</v>
      </c>
      <c r="H76" s="74">
        <v>2022</v>
      </c>
      <c r="I76" s="45">
        <v>2016</v>
      </c>
      <c r="J76" s="44" t="s">
        <v>426</v>
      </c>
      <c r="K76" s="84" t="s">
        <v>427</v>
      </c>
    </row>
    <row r="77" spans="1:11" ht="42.75" x14ac:dyDescent="0.25">
      <c r="A77" s="55" t="s">
        <v>357</v>
      </c>
      <c r="B77" s="78">
        <f>H77/E77/365*1000</f>
        <v>137.5570776255708</v>
      </c>
      <c r="C77" s="78" t="s">
        <v>78</v>
      </c>
      <c r="D77" s="78" t="s">
        <v>78</v>
      </c>
      <c r="E77" s="78">
        <v>24</v>
      </c>
      <c r="F77" s="78" t="s">
        <v>78</v>
      </c>
      <c r="G77" s="78" t="s">
        <v>78</v>
      </c>
      <c r="H77" s="73">
        <v>1205</v>
      </c>
      <c r="I77" s="56">
        <v>2016</v>
      </c>
      <c r="J77" s="55" t="s">
        <v>426</v>
      </c>
      <c r="K77" s="83" t="s">
        <v>427</v>
      </c>
    </row>
    <row r="78" spans="1:11" ht="28.5" x14ac:dyDescent="0.25">
      <c r="A78" s="44" t="s">
        <v>358</v>
      </c>
      <c r="B78" s="77" t="s">
        <v>78</v>
      </c>
      <c r="C78" s="77" t="s">
        <v>78</v>
      </c>
      <c r="D78" s="77" t="s">
        <v>78</v>
      </c>
      <c r="E78" s="77" t="s">
        <v>78</v>
      </c>
      <c r="F78" s="77" t="s">
        <v>78</v>
      </c>
      <c r="G78" s="77" t="s">
        <v>78</v>
      </c>
      <c r="H78" s="74">
        <v>23000</v>
      </c>
      <c r="I78" s="45">
        <v>2017</v>
      </c>
      <c r="J78" s="44" t="s">
        <v>230</v>
      </c>
      <c r="K78" s="53" t="s">
        <v>188</v>
      </c>
    </row>
    <row r="79" spans="1:11" ht="28.5" x14ac:dyDescent="0.25">
      <c r="A79" s="55" t="s">
        <v>359</v>
      </c>
      <c r="B79" s="78" t="s">
        <v>78</v>
      </c>
      <c r="C79" s="78" t="s">
        <v>78</v>
      </c>
      <c r="D79" s="78" t="s">
        <v>78</v>
      </c>
      <c r="E79" s="78" t="s">
        <v>78</v>
      </c>
      <c r="F79" s="78" t="s">
        <v>78</v>
      </c>
      <c r="G79" s="78" t="s">
        <v>78</v>
      </c>
      <c r="H79" s="73">
        <v>51000</v>
      </c>
      <c r="I79" s="56">
        <v>2017</v>
      </c>
      <c r="J79" s="55" t="s">
        <v>230</v>
      </c>
      <c r="K79" s="83" t="s">
        <v>188</v>
      </c>
    </row>
    <row r="80" spans="1:11" ht="28.5" x14ac:dyDescent="0.25">
      <c r="A80" s="44" t="s">
        <v>360</v>
      </c>
      <c r="B80" s="77" t="s">
        <v>78</v>
      </c>
      <c r="C80" s="77" t="s">
        <v>78</v>
      </c>
      <c r="D80" s="77" t="s">
        <v>78</v>
      </c>
      <c r="E80" s="77" t="s">
        <v>78</v>
      </c>
      <c r="F80" s="77" t="s">
        <v>78</v>
      </c>
      <c r="G80" s="77" t="s">
        <v>78</v>
      </c>
      <c r="H80" s="74">
        <v>111000</v>
      </c>
      <c r="I80" s="45">
        <v>2017</v>
      </c>
      <c r="J80" s="44" t="s">
        <v>230</v>
      </c>
      <c r="K80" s="84" t="s">
        <v>188</v>
      </c>
    </row>
    <row r="81" spans="1:11" ht="16.5" x14ac:dyDescent="0.25">
      <c r="A81" s="40" t="s">
        <v>363</v>
      </c>
      <c r="B81" s="79"/>
      <c r="C81" s="79"/>
      <c r="D81" s="79"/>
      <c r="E81" s="79"/>
      <c r="F81" s="79"/>
      <c r="G81" s="79"/>
      <c r="H81" s="75"/>
      <c r="I81" s="72"/>
      <c r="J81" s="4"/>
      <c r="K81" s="40"/>
    </row>
    <row r="82" spans="1:11" ht="28.5" x14ac:dyDescent="0.25">
      <c r="A82" s="44" t="s">
        <v>364</v>
      </c>
      <c r="B82" s="77">
        <v>54.6</v>
      </c>
      <c r="C82" s="77" t="s">
        <v>78</v>
      </c>
      <c r="D82" s="77">
        <v>0.31</v>
      </c>
      <c r="E82" s="77">
        <v>24</v>
      </c>
      <c r="F82" s="77" t="s">
        <v>78</v>
      </c>
      <c r="G82" s="77">
        <v>0</v>
      </c>
      <c r="H82" s="74">
        <f t="shared" ref="H82:H89" si="3">B82*E82*365/1000</f>
        <v>478.29600000000005</v>
      </c>
      <c r="I82" s="45">
        <v>2016</v>
      </c>
      <c r="J82" s="44" t="s">
        <v>423</v>
      </c>
      <c r="K82" s="84" t="s">
        <v>424</v>
      </c>
    </row>
    <row r="83" spans="1:11" ht="28.5" x14ac:dyDescent="0.25">
      <c r="A83" s="55" t="s">
        <v>365</v>
      </c>
      <c r="B83" s="78">
        <v>37.299999999999997</v>
      </c>
      <c r="C83" s="78" t="s">
        <v>78</v>
      </c>
      <c r="D83" s="78">
        <v>0.28999999999999998</v>
      </c>
      <c r="E83" s="78">
        <v>24</v>
      </c>
      <c r="F83" s="78" t="s">
        <v>78</v>
      </c>
      <c r="G83" s="78">
        <v>0</v>
      </c>
      <c r="H83" s="73">
        <f t="shared" si="3"/>
        <v>326.74799999999999</v>
      </c>
      <c r="I83" s="56">
        <v>2016</v>
      </c>
      <c r="J83" s="55" t="s">
        <v>423</v>
      </c>
      <c r="K83" s="83" t="s">
        <v>424</v>
      </c>
    </row>
    <row r="84" spans="1:11" ht="28.5" x14ac:dyDescent="0.25">
      <c r="A84" s="44" t="s">
        <v>366</v>
      </c>
      <c r="B84" s="77">
        <v>93.3</v>
      </c>
      <c r="C84" s="77" t="s">
        <v>78</v>
      </c>
      <c r="D84" s="77">
        <v>0.37</v>
      </c>
      <c r="E84" s="77">
        <v>24</v>
      </c>
      <c r="F84" s="77" t="s">
        <v>78</v>
      </c>
      <c r="G84" s="77">
        <v>0</v>
      </c>
      <c r="H84" s="74">
        <f t="shared" si="3"/>
        <v>817.30799999999988</v>
      </c>
      <c r="I84" s="45">
        <v>2016</v>
      </c>
      <c r="J84" s="44" t="s">
        <v>423</v>
      </c>
      <c r="K84" s="84" t="s">
        <v>424</v>
      </c>
    </row>
    <row r="85" spans="1:11" ht="28.5" x14ac:dyDescent="0.25">
      <c r="A85" s="55" t="s">
        <v>367</v>
      </c>
      <c r="B85" s="78">
        <v>65.8</v>
      </c>
      <c r="C85" s="78" t="s">
        <v>78</v>
      </c>
      <c r="D85" s="78">
        <v>0.3</v>
      </c>
      <c r="E85" s="78">
        <v>24</v>
      </c>
      <c r="F85" s="78" t="s">
        <v>78</v>
      </c>
      <c r="G85" s="78">
        <v>0</v>
      </c>
      <c r="H85" s="73">
        <f t="shared" si="3"/>
        <v>576.4079999999999</v>
      </c>
      <c r="I85" s="56">
        <v>2016</v>
      </c>
      <c r="J85" s="55" t="s">
        <v>423</v>
      </c>
      <c r="K85" s="83" t="s">
        <v>424</v>
      </c>
    </row>
    <row r="86" spans="1:11" ht="28.5" x14ac:dyDescent="0.25">
      <c r="A86" s="44" t="s">
        <v>368</v>
      </c>
      <c r="B86" s="77">
        <v>120.8</v>
      </c>
      <c r="C86" s="77" t="s">
        <v>78</v>
      </c>
      <c r="D86" s="77">
        <v>0.4</v>
      </c>
      <c r="E86" s="77">
        <v>24</v>
      </c>
      <c r="F86" s="77" t="s">
        <v>78</v>
      </c>
      <c r="G86" s="77">
        <v>0</v>
      </c>
      <c r="H86" s="74">
        <f t="shared" si="3"/>
        <v>1058.2080000000001</v>
      </c>
      <c r="I86" s="45">
        <v>2016</v>
      </c>
      <c r="J86" s="44" t="s">
        <v>423</v>
      </c>
      <c r="K86" s="84" t="s">
        <v>424</v>
      </c>
    </row>
    <row r="87" spans="1:11" ht="28.5" x14ac:dyDescent="0.25">
      <c r="A87" s="55" t="s">
        <v>369</v>
      </c>
      <c r="B87" s="78">
        <v>79.3</v>
      </c>
      <c r="C87" s="78" t="s">
        <v>78</v>
      </c>
      <c r="D87" s="78">
        <v>0.3</v>
      </c>
      <c r="E87" s="78">
        <v>24</v>
      </c>
      <c r="F87" s="78" t="s">
        <v>78</v>
      </c>
      <c r="G87" s="78">
        <v>0</v>
      </c>
      <c r="H87" s="73">
        <f t="shared" si="3"/>
        <v>694.66799999999989</v>
      </c>
      <c r="I87" s="56">
        <v>2016</v>
      </c>
      <c r="J87" s="55" t="s">
        <v>423</v>
      </c>
      <c r="K87" s="83" t="s">
        <v>424</v>
      </c>
    </row>
    <row r="88" spans="1:11" ht="28.5" x14ac:dyDescent="0.25">
      <c r="A88" s="44" t="s">
        <v>370</v>
      </c>
      <c r="B88" s="77">
        <v>152.19999999999999</v>
      </c>
      <c r="C88" s="77" t="s">
        <v>78</v>
      </c>
      <c r="D88" s="77">
        <v>0.4</v>
      </c>
      <c r="E88" s="77">
        <v>24</v>
      </c>
      <c r="F88" s="77" t="s">
        <v>78</v>
      </c>
      <c r="G88" s="77">
        <v>0</v>
      </c>
      <c r="H88" s="74">
        <f t="shared" si="3"/>
        <v>1333.2719999999999</v>
      </c>
      <c r="I88" s="45">
        <v>2016</v>
      </c>
      <c r="J88" s="44" t="s">
        <v>423</v>
      </c>
      <c r="K88" s="84" t="s">
        <v>424</v>
      </c>
    </row>
    <row r="89" spans="1:11" ht="28.5" x14ac:dyDescent="0.25">
      <c r="A89" s="55" t="s">
        <v>371</v>
      </c>
      <c r="B89" s="78">
        <v>104.2</v>
      </c>
      <c r="C89" s="78" t="s">
        <v>78</v>
      </c>
      <c r="D89" s="78">
        <v>0.3</v>
      </c>
      <c r="E89" s="78">
        <v>24</v>
      </c>
      <c r="F89" s="78" t="s">
        <v>78</v>
      </c>
      <c r="G89" s="78">
        <v>0</v>
      </c>
      <c r="H89" s="73">
        <f t="shared" si="3"/>
        <v>912.79200000000014</v>
      </c>
      <c r="I89" s="56">
        <v>2016</v>
      </c>
      <c r="J89" s="55" t="s">
        <v>423</v>
      </c>
      <c r="K89" s="83" t="s">
        <v>424</v>
      </c>
    </row>
    <row r="90" spans="1:11" ht="28.5" x14ac:dyDescent="0.25">
      <c r="A90" s="44" t="s">
        <v>372</v>
      </c>
      <c r="B90" s="77">
        <v>3.2</v>
      </c>
      <c r="C90" s="77" t="s">
        <v>78</v>
      </c>
      <c r="D90" s="77" t="s">
        <v>78</v>
      </c>
      <c r="E90" s="77" t="s">
        <v>78</v>
      </c>
      <c r="F90" s="77" t="s">
        <v>78</v>
      </c>
      <c r="G90" s="77">
        <v>0</v>
      </c>
      <c r="H90" s="74">
        <f>28</f>
        <v>28</v>
      </c>
      <c r="I90" s="45">
        <v>2016</v>
      </c>
      <c r="J90" s="44" t="s">
        <v>423</v>
      </c>
      <c r="K90" s="84" t="s">
        <v>424</v>
      </c>
    </row>
    <row r="91" spans="1:11" ht="28.5" x14ac:dyDescent="0.25">
      <c r="A91" s="55" t="s">
        <v>373</v>
      </c>
      <c r="B91" s="78">
        <v>2</v>
      </c>
      <c r="C91" s="78" t="s">
        <v>78</v>
      </c>
      <c r="D91" s="78" t="s">
        <v>78</v>
      </c>
      <c r="E91" s="78" t="s">
        <v>78</v>
      </c>
      <c r="F91" s="78" t="s">
        <v>78</v>
      </c>
      <c r="G91" s="78">
        <v>0</v>
      </c>
      <c r="H91" s="73">
        <v>18</v>
      </c>
      <c r="I91" s="56">
        <v>2016</v>
      </c>
      <c r="J91" s="55" t="s">
        <v>423</v>
      </c>
      <c r="K91" s="83" t="s">
        <v>424</v>
      </c>
    </row>
    <row r="92" spans="1:11" ht="28.5" x14ac:dyDescent="0.25">
      <c r="A92" s="44" t="s">
        <v>374</v>
      </c>
      <c r="B92" s="77">
        <v>5</v>
      </c>
      <c r="C92" s="77" t="s">
        <v>78</v>
      </c>
      <c r="D92" s="77" t="s">
        <v>78</v>
      </c>
      <c r="E92" s="77" t="s">
        <v>78</v>
      </c>
      <c r="F92" s="77" t="s">
        <v>78</v>
      </c>
      <c r="G92" s="77">
        <v>0</v>
      </c>
      <c r="H92" s="74">
        <f>28</f>
        <v>28</v>
      </c>
      <c r="I92" s="45">
        <v>2016</v>
      </c>
      <c r="J92" s="44" t="s">
        <v>423</v>
      </c>
      <c r="K92" s="84" t="s">
        <v>424</v>
      </c>
    </row>
    <row r="93" spans="1:11" ht="28.5" x14ac:dyDescent="0.25">
      <c r="A93" s="55" t="s">
        <v>375</v>
      </c>
      <c r="B93" s="78">
        <v>3</v>
      </c>
      <c r="C93" s="78" t="s">
        <v>78</v>
      </c>
      <c r="D93" s="78" t="s">
        <v>78</v>
      </c>
      <c r="E93" s="78" t="s">
        <v>78</v>
      </c>
      <c r="F93" s="78" t="s">
        <v>78</v>
      </c>
      <c r="G93" s="78">
        <v>0</v>
      </c>
      <c r="H93" s="73">
        <v>18</v>
      </c>
      <c r="I93" s="56">
        <v>2016</v>
      </c>
      <c r="J93" s="55" t="s">
        <v>423</v>
      </c>
      <c r="K93" s="83" t="s">
        <v>424</v>
      </c>
    </row>
    <row r="94" spans="1:11" ht="28.5" x14ac:dyDescent="0.25">
      <c r="A94" s="44" t="s">
        <v>376</v>
      </c>
      <c r="B94" s="77">
        <v>3.9</v>
      </c>
      <c r="C94" s="77" t="s">
        <v>78</v>
      </c>
      <c r="D94" s="77" t="s">
        <v>78</v>
      </c>
      <c r="E94" s="77" t="s">
        <v>78</v>
      </c>
      <c r="F94" s="77" t="s">
        <v>78</v>
      </c>
      <c r="G94" s="77">
        <v>0</v>
      </c>
      <c r="H94" s="74">
        <v>34</v>
      </c>
      <c r="I94" s="45">
        <v>2016</v>
      </c>
      <c r="J94" s="44" t="s">
        <v>423</v>
      </c>
      <c r="K94" s="84" t="s">
        <v>424</v>
      </c>
    </row>
    <row r="95" spans="1:11" ht="28.5" x14ac:dyDescent="0.25">
      <c r="A95" s="55" t="s">
        <v>377</v>
      </c>
      <c r="B95" s="78">
        <v>2.5</v>
      </c>
      <c r="C95" s="78" t="s">
        <v>78</v>
      </c>
      <c r="D95" s="78" t="s">
        <v>78</v>
      </c>
      <c r="E95" s="78" t="s">
        <v>78</v>
      </c>
      <c r="F95" s="78" t="s">
        <v>78</v>
      </c>
      <c r="G95" s="78">
        <v>0</v>
      </c>
      <c r="H95" s="73">
        <v>22</v>
      </c>
      <c r="I95" s="56">
        <v>2016</v>
      </c>
      <c r="J95" s="55" t="s">
        <v>423</v>
      </c>
      <c r="K95" s="83" t="s">
        <v>424</v>
      </c>
    </row>
    <row r="96" spans="1:11" ht="30" customHeight="1" x14ac:dyDescent="0.25">
      <c r="A96" s="44" t="s">
        <v>378</v>
      </c>
      <c r="B96" s="77" t="s">
        <v>78</v>
      </c>
      <c r="C96" s="77" t="s">
        <v>78</v>
      </c>
      <c r="D96" s="77" t="s">
        <v>78</v>
      </c>
      <c r="E96" s="77" t="s">
        <v>78</v>
      </c>
      <c r="F96" s="77" t="s">
        <v>78</v>
      </c>
      <c r="G96" s="77" t="s">
        <v>78</v>
      </c>
      <c r="H96" s="74">
        <v>183</v>
      </c>
      <c r="I96" s="45">
        <v>2016</v>
      </c>
      <c r="J96" s="44" t="s">
        <v>425</v>
      </c>
      <c r="K96" s="84" t="s">
        <v>422</v>
      </c>
    </row>
    <row r="97" spans="1:11" ht="29.25" customHeight="1" x14ac:dyDescent="0.25">
      <c r="A97" s="55" t="s">
        <v>379</v>
      </c>
      <c r="B97" s="78" t="s">
        <v>78</v>
      </c>
      <c r="C97" s="78" t="s">
        <v>78</v>
      </c>
      <c r="D97" s="78" t="s">
        <v>78</v>
      </c>
      <c r="E97" s="78" t="s">
        <v>78</v>
      </c>
      <c r="F97" s="78" t="s">
        <v>78</v>
      </c>
      <c r="G97" s="78" t="s">
        <v>78</v>
      </c>
      <c r="H97" s="73">
        <v>136</v>
      </c>
      <c r="I97" s="56">
        <v>2016</v>
      </c>
      <c r="J97" s="55" t="s">
        <v>425</v>
      </c>
      <c r="K97" s="83" t="s">
        <v>422</v>
      </c>
    </row>
    <row r="98" spans="1:11" ht="29.25" customHeight="1" x14ac:dyDescent="0.25">
      <c r="A98" s="44" t="s">
        <v>380</v>
      </c>
      <c r="B98" s="77" t="s">
        <v>78</v>
      </c>
      <c r="C98" s="77" t="s">
        <v>78</v>
      </c>
      <c r="D98" s="77" t="s">
        <v>78</v>
      </c>
      <c r="E98" s="77" t="s">
        <v>78</v>
      </c>
      <c r="F98" s="77" t="s">
        <v>78</v>
      </c>
      <c r="G98" s="77" t="s">
        <v>78</v>
      </c>
      <c r="H98" s="74">
        <v>136</v>
      </c>
      <c r="I98" s="45">
        <v>2016</v>
      </c>
      <c r="J98" s="44" t="s">
        <v>425</v>
      </c>
      <c r="K98" s="84" t="s">
        <v>422</v>
      </c>
    </row>
    <row r="99" spans="1:11" ht="29.25" customHeight="1" x14ac:dyDescent="0.25">
      <c r="A99" s="55" t="s">
        <v>381</v>
      </c>
      <c r="B99" s="78" t="s">
        <v>78</v>
      </c>
      <c r="C99" s="78" t="s">
        <v>78</v>
      </c>
      <c r="D99" s="78" t="s">
        <v>78</v>
      </c>
      <c r="E99" s="78" t="s">
        <v>78</v>
      </c>
      <c r="F99" s="78" t="s">
        <v>78</v>
      </c>
      <c r="G99" s="78" t="s">
        <v>78</v>
      </c>
      <c r="H99" s="73">
        <v>38</v>
      </c>
      <c r="I99" s="56">
        <v>2016</v>
      </c>
      <c r="J99" s="55" t="s">
        <v>425</v>
      </c>
      <c r="K99" s="83" t="s">
        <v>422</v>
      </c>
    </row>
    <row r="100" spans="1:11" ht="28.5" customHeight="1" x14ac:dyDescent="0.25">
      <c r="A100" s="44" t="s">
        <v>22</v>
      </c>
      <c r="B100" s="77">
        <v>68.8</v>
      </c>
      <c r="C100" s="77">
        <v>48.11</v>
      </c>
      <c r="D100" s="77">
        <v>2.31</v>
      </c>
      <c r="E100" s="77">
        <v>16.04</v>
      </c>
      <c r="F100" s="77">
        <v>1.2</v>
      </c>
      <c r="G100" s="77">
        <v>6.8</v>
      </c>
      <c r="H100" s="74">
        <f>(B100*E100+C100*F100+D100*G100)*365/1000</f>
        <v>429.60207999999994</v>
      </c>
      <c r="I100" s="45">
        <v>2016</v>
      </c>
      <c r="J100" s="44" t="s">
        <v>425</v>
      </c>
      <c r="K100" s="84" t="s">
        <v>422</v>
      </c>
    </row>
    <row r="101" spans="1:11" ht="30.75" customHeight="1" x14ac:dyDescent="0.25">
      <c r="A101" s="55" t="s">
        <v>295</v>
      </c>
      <c r="B101" s="78">
        <v>46.2</v>
      </c>
      <c r="C101" s="78">
        <v>27.11</v>
      </c>
      <c r="D101" s="78">
        <v>1.8</v>
      </c>
      <c r="E101" s="78">
        <v>16.04</v>
      </c>
      <c r="F101" s="78">
        <v>1.2</v>
      </c>
      <c r="G101" s="78">
        <v>6.76</v>
      </c>
      <c r="H101" s="73">
        <f>(B101*E101+C101*F101+D101*G101)*365/1000</f>
        <v>286.79802000000001</v>
      </c>
      <c r="I101" s="56">
        <v>2016</v>
      </c>
      <c r="J101" s="55" t="s">
        <v>425</v>
      </c>
      <c r="K101" s="83" t="s">
        <v>422</v>
      </c>
    </row>
    <row r="102" spans="1:11" ht="28.5" x14ac:dyDescent="0.25">
      <c r="A102" s="44" t="s">
        <v>296</v>
      </c>
      <c r="B102" s="77" t="s">
        <v>78</v>
      </c>
      <c r="C102" s="77" t="s">
        <v>78</v>
      </c>
      <c r="D102" s="77" t="s">
        <v>78</v>
      </c>
      <c r="E102" s="77" t="s">
        <v>78</v>
      </c>
      <c r="F102" s="77" t="s">
        <v>78</v>
      </c>
      <c r="G102" s="77" t="s">
        <v>78</v>
      </c>
      <c r="H102" s="74">
        <v>170</v>
      </c>
      <c r="I102" s="45">
        <v>2016</v>
      </c>
      <c r="J102" s="44" t="s">
        <v>230</v>
      </c>
      <c r="K102" s="84" t="s">
        <v>188</v>
      </c>
    </row>
    <row r="103" spans="1:11" ht="28.5" x14ac:dyDescent="0.25">
      <c r="A103" s="55" t="s">
        <v>297</v>
      </c>
      <c r="B103" s="78" t="s">
        <v>78</v>
      </c>
      <c r="C103" s="78" t="s">
        <v>78</v>
      </c>
      <c r="D103" s="78" t="s">
        <v>78</v>
      </c>
      <c r="E103" s="78" t="s">
        <v>78</v>
      </c>
      <c r="F103" s="78" t="s">
        <v>78</v>
      </c>
      <c r="G103" s="78" t="s">
        <v>78</v>
      </c>
      <c r="H103" s="73">
        <v>52</v>
      </c>
      <c r="I103" s="56">
        <v>2016</v>
      </c>
      <c r="J103" s="55" t="s">
        <v>230</v>
      </c>
      <c r="K103" s="83" t="s">
        <v>188</v>
      </c>
    </row>
    <row r="104" spans="1:11" ht="30" customHeight="1" x14ac:dyDescent="0.25">
      <c r="A104" s="44" t="s">
        <v>215</v>
      </c>
      <c r="B104" s="77" t="s">
        <v>78</v>
      </c>
      <c r="C104" s="77" t="s">
        <v>78</v>
      </c>
      <c r="D104" s="77" t="s">
        <v>78</v>
      </c>
      <c r="E104" s="77">
        <v>3.2</v>
      </c>
      <c r="F104" s="77">
        <v>14.6</v>
      </c>
      <c r="G104" s="77">
        <v>6.2</v>
      </c>
      <c r="H104" s="74">
        <v>97</v>
      </c>
      <c r="I104" s="45">
        <v>2015</v>
      </c>
      <c r="J104" s="44" t="s">
        <v>210</v>
      </c>
      <c r="K104" s="53" t="s">
        <v>262</v>
      </c>
    </row>
    <row r="105" spans="1:11" ht="28.5" customHeight="1" x14ac:dyDescent="0.25">
      <c r="A105" s="55" t="s">
        <v>289</v>
      </c>
      <c r="B105" s="78" t="s">
        <v>78</v>
      </c>
      <c r="C105" s="78" t="s">
        <v>78</v>
      </c>
      <c r="D105" s="78" t="s">
        <v>78</v>
      </c>
      <c r="E105" s="78">
        <v>3.2</v>
      </c>
      <c r="F105" s="78">
        <v>14.6</v>
      </c>
      <c r="G105" s="78">
        <v>6.2</v>
      </c>
      <c r="H105" s="73">
        <v>46</v>
      </c>
      <c r="I105" s="56">
        <v>2015</v>
      </c>
      <c r="J105" s="55" t="s">
        <v>210</v>
      </c>
      <c r="K105" s="57" t="s">
        <v>262</v>
      </c>
    </row>
    <row r="106" spans="1:11" ht="28.5" customHeight="1" x14ac:dyDescent="0.25">
      <c r="A106" s="44" t="s">
        <v>290</v>
      </c>
      <c r="B106" s="77" t="s">
        <v>78</v>
      </c>
      <c r="C106" s="77" t="s">
        <v>78</v>
      </c>
      <c r="D106" s="77" t="s">
        <v>78</v>
      </c>
      <c r="E106" s="77">
        <v>3.2</v>
      </c>
      <c r="F106" s="77">
        <v>14.6</v>
      </c>
      <c r="G106" s="77">
        <v>6.2</v>
      </c>
      <c r="H106" s="74">
        <v>60</v>
      </c>
      <c r="I106" s="45">
        <v>2015</v>
      </c>
      <c r="J106" s="44" t="s">
        <v>210</v>
      </c>
      <c r="K106" s="53" t="s">
        <v>262</v>
      </c>
    </row>
    <row r="107" spans="1:11" ht="29.25" customHeight="1" x14ac:dyDescent="0.25">
      <c r="A107" s="55" t="s">
        <v>291</v>
      </c>
      <c r="B107" s="78" t="s">
        <v>78</v>
      </c>
      <c r="C107" s="78" t="s">
        <v>78</v>
      </c>
      <c r="D107" s="78" t="s">
        <v>78</v>
      </c>
      <c r="E107" s="78">
        <v>3.2</v>
      </c>
      <c r="F107" s="78">
        <v>14.6</v>
      </c>
      <c r="G107" s="78">
        <v>6.2</v>
      </c>
      <c r="H107" s="73">
        <v>96</v>
      </c>
      <c r="I107" s="56">
        <v>2015</v>
      </c>
      <c r="J107" s="55" t="s">
        <v>210</v>
      </c>
      <c r="K107" s="57" t="s">
        <v>262</v>
      </c>
    </row>
    <row r="108" spans="1:11" ht="29.25" customHeight="1" x14ac:dyDescent="0.25">
      <c r="A108" s="44" t="s">
        <v>294</v>
      </c>
      <c r="B108" s="77">
        <f>(H108-(C108*F108+D108*G108)*356/1000)*1000/365</f>
        <v>544.64942465753427</v>
      </c>
      <c r="C108" s="77">
        <v>1.4</v>
      </c>
      <c r="D108" s="77">
        <v>1</v>
      </c>
      <c r="E108" s="77">
        <v>0.1</v>
      </c>
      <c r="F108" s="77">
        <v>11.9</v>
      </c>
      <c r="G108" s="77">
        <f>84/7</f>
        <v>12</v>
      </c>
      <c r="H108" s="74">
        <v>209</v>
      </c>
      <c r="I108" s="45">
        <v>2014</v>
      </c>
      <c r="J108" s="44" t="s">
        <v>231</v>
      </c>
      <c r="K108" s="84" t="s">
        <v>422</v>
      </c>
    </row>
    <row r="109" spans="1:11" ht="31.5" customHeight="1" x14ac:dyDescent="0.25">
      <c r="A109" s="55" t="s">
        <v>382</v>
      </c>
      <c r="B109" s="78">
        <f>(H109-(C109*F109+D109*G109)*356/1000)*1000/365</f>
        <v>359.78673972602741</v>
      </c>
      <c r="C109" s="78">
        <v>0.6</v>
      </c>
      <c r="D109" s="78">
        <v>0.5</v>
      </c>
      <c r="E109" s="78">
        <v>0.1</v>
      </c>
      <c r="F109" s="78">
        <v>11.9</v>
      </c>
      <c r="G109" s="78">
        <f>84/7</f>
        <v>12</v>
      </c>
      <c r="H109" s="73">
        <v>136</v>
      </c>
      <c r="I109" s="56">
        <v>2014</v>
      </c>
      <c r="J109" s="55" t="s">
        <v>231</v>
      </c>
      <c r="K109" s="83" t="s">
        <v>422</v>
      </c>
    </row>
    <row r="110" spans="1:11" ht="30" customHeight="1" x14ac:dyDescent="0.25">
      <c r="A110" s="44" t="s">
        <v>31</v>
      </c>
      <c r="B110" s="77" t="s">
        <v>78</v>
      </c>
      <c r="C110" s="77" t="s">
        <v>78</v>
      </c>
      <c r="D110" s="77" t="s">
        <v>78</v>
      </c>
      <c r="E110" s="77" t="s">
        <v>78</v>
      </c>
      <c r="F110" s="77" t="s">
        <v>78</v>
      </c>
      <c r="G110" s="77">
        <f>84/7</f>
        <v>12</v>
      </c>
      <c r="H110" s="74">
        <v>747</v>
      </c>
      <c r="I110" s="45">
        <v>2014</v>
      </c>
      <c r="J110" s="44" t="s">
        <v>231</v>
      </c>
      <c r="K110" s="84" t="s">
        <v>422</v>
      </c>
    </row>
    <row r="111" spans="1:11" ht="34.5" customHeight="1" x14ac:dyDescent="0.25">
      <c r="A111" s="55" t="s">
        <v>85</v>
      </c>
      <c r="B111" s="78" t="s">
        <v>78</v>
      </c>
      <c r="C111" s="78" t="s">
        <v>78</v>
      </c>
      <c r="D111" s="78" t="s">
        <v>78</v>
      </c>
      <c r="E111" s="78" t="s">
        <v>78</v>
      </c>
      <c r="F111" s="78" t="s">
        <v>78</v>
      </c>
      <c r="G111" s="78">
        <f>84/7</f>
        <v>12</v>
      </c>
      <c r="H111" s="73">
        <v>560</v>
      </c>
      <c r="I111" s="56">
        <v>2014</v>
      </c>
      <c r="J111" s="55" t="s">
        <v>231</v>
      </c>
      <c r="K111" s="83" t="s">
        <v>422</v>
      </c>
    </row>
    <row r="112" spans="1:11" ht="28.5" x14ac:dyDescent="0.25">
      <c r="A112" s="44" t="s">
        <v>9</v>
      </c>
      <c r="B112" s="77" t="s">
        <v>78</v>
      </c>
      <c r="C112" s="77" t="s">
        <v>78</v>
      </c>
      <c r="D112" s="77" t="s">
        <v>78</v>
      </c>
      <c r="E112" s="77" t="s">
        <v>78</v>
      </c>
      <c r="F112" s="77" t="s">
        <v>78</v>
      </c>
      <c r="G112" s="77" t="s">
        <v>78</v>
      </c>
      <c r="H112" s="74">
        <v>35</v>
      </c>
      <c r="I112" s="45">
        <v>2017</v>
      </c>
      <c r="J112" s="44" t="s">
        <v>230</v>
      </c>
      <c r="K112" s="84" t="s">
        <v>188</v>
      </c>
    </row>
    <row r="113" spans="1:11" ht="28.5" x14ac:dyDescent="0.25">
      <c r="A113" s="55" t="s">
        <v>250</v>
      </c>
      <c r="B113" s="78">
        <v>550</v>
      </c>
      <c r="C113" s="78">
        <v>2.4</v>
      </c>
      <c r="D113" s="78">
        <v>0</v>
      </c>
      <c r="E113" s="78">
        <f>30/365</f>
        <v>8.2191780821917804E-2</v>
      </c>
      <c r="F113" s="78">
        <f>24-E113</f>
        <v>23.917808219178081</v>
      </c>
      <c r="G113" s="78">
        <v>0</v>
      </c>
      <c r="H113" s="73">
        <v>40</v>
      </c>
      <c r="I113" s="56">
        <v>2017</v>
      </c>
      <c r="J113" s="55" t="s">
        <v>230</v>
      </c>
      <c r="K113" s="83" t="s">
        <v>188</v>
      </c>
    </row>
    <row r="114" spans="1:11" ht="28.5" x14ac:dyDescent="0.25">
      <c r="A114" s="44" t="s">
        <v>251</v>
      </c>
      <c r="B114" s="77" t="s">
        <v>78</v>
      </c>
      <c r="C114" s="77" t="s">
        <v>78</v>
      </c>
      <c r="D114" s="77" t="s">
        <v>78</v>
      </c>
      <c r="E114" s="77" t="s">
        <v>78</v>
      </c>
      <c r="F114" s="77" t="s">
        <v>78</v>
      </c>
      <c r="G114" s="77" t="s">
        <v>78</v>
      </c>
      <c r="H114" s="74">
        <v>500</v>
      </c>
      <c r="I114" s="45">
        <v>2017</v>
      </c>
      <c r="J114" s="44" t="s">
        <v>230</v>
      </c>
      <c r="K114" s="84" t="s">
        <v>188</v>
      </c>
    </row>
    <row r="115" spans="1:11" ht="16.5" x14ac:dyDescent="0.25">
      <c r="A115" s="40" t="s">
        <v>391</v>
      </c>
      <c r="B115" s="79"/>
      <c r="C115" s="79"/>
      <c r="D115" s="79"/>
      <c r="E115" s="79"/>
      <c r="F115" s="79"/>
      <c r="G115" s="79"/>
      <c r="H115" s="75"/>
      <c r="I115" s="72"/>
      <c r="J115" s="4"/>
      <c r="K115" s="40"/>
    </row>
    <row r="116" spans="1:11" ht="28.5" customHeight="1" x14ac:dyDescent="0.25">
      <c r="A116" s="44" t="s">
        <v>216</v>
      </c>
      <c r="B116" s="77" t="s">
        <v>78</v>
      </c>
      <c r="C116" s="77" t="s">
        <v>78</v>
      </c>
      <c r="D116" s="77" t="s">
        <v>78</v>
      </c>
      <c r="E116" s="77" t="s">
        <v>78</v>
      </c>
      <c r="F116" s="77" t="s">
        <v>78</v>
      </c>
      <c r="G116" s="77" t="s">
        <v>78</v>
      </c>
      <c r="H116" s="74">
        <v>2041</v>
      </c>
      <c r="I116" s="45">
        <v>2015</v>
      </c>
      <c r="J116" s="44" t="s">
        <v>210</v>
      </c>
      <c r="K116" s="53" t="s">
        <v>262</v>
      </c>
    </row>
    <row r="117" spans="1:11" ht="28.5" customHeight="1" x14ac:dyDescent="0.25">
      <c r="A117" s="55" t="s">
        <v>217</v>
      </c>
      <c r="B117" s="78" t="s">
        <v>78</v>
      </c>
      <c r="C117" s="78" t="s">
        <v>78</v>
      </c>
      <c r="D117" s="78" t="s">
        <v>78</v>
      </c>
      <c r="E117" s="78" t="s">
        <v>78</v>
      </c>
      <c r="F117" s="78" t="s">
        <v>78</v>
      </c>
      <c r="G117" s="78" t="s">
        <v>78</v>
      </c>
      <c r="H117" s="73">
        <v>3066</v>
      </c>
      <c r="I117" s="56">
        <v>2015</v>
      </c>
      <c r="J117" s="55" t="s">
        <v>210</v>
      </c>
      <c r="K117" s="57" t="s">
        <v>262</v>
      </c>
    </row>
    <row r="118" spans="1:11" ht="29.25" customHeight="1" x14ac:dyDescent="0.25">
      <c r="A118" s="44" t="s">
        <v>218</v>
      </c>
      <c r="B118" s="77" t="s">
        <v>78</v>
      </c>
      <c r="C118" s="77" t="s">
        <v>78</v>
      </c>
      <c r="D118" s="77" t="s">
        <v>78</v>
      </c>
      <c r="E118" s="77" t="s">
        <v>78</v>
      </c>
      <c r="F118" s="77" t="s">
        <v>78</v>
      </c>
      <c r="G118" s="77" t="s">
        <v>78</v>
      </c>
      <c r="H118" s="74">
        <v>5256</v>
      </c>
      <c r="I118" s="45">
        <v>2015</v>
      </c>
      <c r="J118" s="44" t="s">
        <v>210</v>
      </c>
      <c r="K118" s="53" t="s">
        <v>262</v>
      </c>
    </row>
    <row r="119" spans="1:11" ht="30" customHeight="1" x14ac:dyDescent="0.25">
      <c r="A119" s="55" t="s">
        <v>219</v>
      </c>
      <c r="B119" s="78" t="s">
        <v>78</v>
      </c>
      <c r="C119" s="78" t="s">
        <v>78</v>
      </c>
      <c r="D119" s="78" t="s">
        <v>78</v>
      </c>
      <c r="E119" s="78" t="s">
        <v>78</v>
      </c>
      <c r="F119" s="78" t="s">
        <v>78</v>
      </c>
      <c r="G119" s="78" t="s">
        <v>78</v>
      </c>
      <c r="H119" s="73">
        <v>5611</v>
      </c>
      <c r="I119" s="56">
        <v>2015</v>
      </c>
      <c r="J119" s="55" t="s">
        <v>210</v>
      </c>
      <c r="K119" s="57" t="s">
        <v>262</v>
      </c>
    </row>
    <row r="120" spans="1:11" ht="31.5" customHeight="1" x14ac:dyDescent="0.25">
      <c r="A120" s="44" t="s">
        <v>220</v>
      </c>
      <c r="B120" s="77" t="s">
        <v>78</v>
      </c>
      <c r="C120" s="77" t="s">
        <v>78</v>
      </c>
      <c r="D120" s="77" t="s">
        <v>78</v>
      </c>
      <c r="E120" s="77" t="s">
        <v>78</v>
      </c>
      <c r="F120" s="77" t="s">
        <v>78</v>
      </c>
      <c r="G120" s="77" t="s">
        <v>78</v>
      </c>
      <c r="H120" s="74">
        <v>22183</v>
      </c>
      <c r="I120" s="45">
        <v>2015</v>
      </c>
      <c r="J120" s="44" t="s">
        <v>210</v>
      </c>
      <c r="K120" s="53" t="s">
        <v>262</v>
      </c>
    </row>
    <row r="121" spans="1:11" ht="29.25" customHeight="1" x14ac:dyDescent="0.25">
      <c r="A121" s="55" t="s">
        <v>216</v>
      </c>
      <c r="B121" s="78" t="s">
        <v>78</v>
      </c>
      <c r="C121" s="78" t="s">
        <v>78</v>
      </c>
      <c r="D121" s="78" t="s">
        <v>78</v>
      </c>
      <c r="E121" s="78" t="s">
        <v>78</v>
      </c>
      <c r="F121" s="78" t="s">
        <v>78</v>
      </c>
      <c r="G121" s="78" t="s">
        <v>78</v>
      </c>
      <c r="H121" s="73">
        <v>2041</v>
      </c>
      <c r="I121" s="56">
        <v>2015</v>
      </c>
      <c r="J121" s="55" t="s">
        <v>210</v>
      </c>
      <c r="K121" s="57" t="s">
        <v>262</v>
      </c>
    </row>
    <row r="122" spans="1:11" ht="28.5" customHeight="1" x14ac:dyDescent="0.25">
      <c r="A122" s="44" t="s">
        <v>383</v>
      </c>
      <c r="B122" s="77" t="s">
        <v>78</v>
      </c>
      <c r="C122" s="77" t="s">
        <v>78</v>
      </c>
      <c r="D122" s="77" t="s">
        <v>78</v>
      </c>
      <c r="E122" s="77" t="s">
        <v>78</v>
      </c>
      <c r="F122" s="77" t="s">
        <v>78</v>
      </c>
      <c r="G122" s="77" t="s">
        <v>78</v>
      </c>
      <c r="H122" s="74">
        <v>27897</v>
      </c>
      <c r="I122" s="45">
        <v>2015</v>
      </c>
      <c r="J122" s="44" t="s">
        <v>210</v>
      </c>
      <c r="K122" s="53" t="s">
        <v>262</v>
      </c>
    </row>
    <row r="123" spans="1:11" ht="29.25" customHeight="1" x14ac:dyDescent="0.25">
      <c r="A123" s="55" t="s">
        <v>384</v>
      </c>
      <c r="B123" s="78" t="s">
        <v>78</v>
      </c>
      <c r="C123" s="78" t="s">
        <v>78</v>
      </c>
      <c r="D123" s="78" t="s">
        <v>78</v>
      </c>
      <c r="E123" s="78" t="s">
        <v>78</v>
      </c>
      <c r="F123" s="78" t="s">
        <v>78</v>
      </c>
      <c r="G123" s="78" t="s">
        <v>78</v>
      </c>
      <c r="H123" s="73">
        <v>495</v>
      </c>
      <c r="I123" s="56">
        <v>2015</v>
      </c>
      <c r="J123" s="55" t="s">
        <v>210</v>
      </c>
      <c r="K123" s="57" t="s">
        <v>262</v>
      </c>
    </row>
    <row r="124" spans="1:11" ht="29.25" customHeight="1" x14ac:dyDescent="0.25">
      <c r="A124" s="44" t="s">
        <v>385</v>
      </c>
      <c r="B124" s="77">
        <f>47/2/24/365*1000</f>
        <v>2.682648401826484</v>
      </c>
      <c r="C124" s="77" t="s">
        <v>78</v>
      </c>
      <c r="D124" s="77" t="s">
        <v>78</v>
      </c>
      <c r="E124" s="77">
        <v>2</v>
      </c>
      <c r="F124" s="77" t="s">
        <v>78</v>
      </c>
      <c r="G124" s="77">
        <v>22</v>
      </c>
      <c r="H124" s="74">
        <v>47</v>
      </c>
      <c r="I124" s="45">
        <v>2015</v>
      </c>
      <c r="J124" s="44" t="s">
        <v>210</v>
      </c>
      <c r="K124" s="53" t="s">
        <v>262</v>
      </c>
    </row>
    <row r="125" spans="1:11" ht="28.5" x14ac:dyDescent="0.25">
      <c r="A125" s="55" t="s">
        <v>386</v>
      </c>
      <c r="B125" s="78">
        <v>8</v>
      </c>
      <c r="C125" s="78">
        <v>1.5</v>
      </c>
      <c r="D125" s="78" t="s">
        <v>78</v>
      </c>
      <c r="E125" s="78">
        <v>21.4</v>
      </c>
      <c r="F125" s="78">
        <v>2.5</v>
      </c>
      <c r="G125" s="78" t="s">
        <v>78</v>
      </c>
      <c r="H125" s="73">
        <v>63.86</v>
      </c>
      <c r="I125" s="56">
        <v>2014</v>
      </c>
      <c r="J125" s="55" t="s">
        <v>113</v>
      </c>
      <c r="K125" s="83" t="s">
        <v>260</v>
      </c>
    </row>
    <row r="126" spans="1:11" ht="28.5" x14ac:dyDescent="0.25">
      <c r="A126" s="44" t="s">
        <v>387</v>
      </c>
      <c r="B126" s="77">
        <v>7.3</v>
      </c>
      <c r="C126" s="77">
        <v>1.5</v>
      </c>
      <c r="D126" s="77" t="s">
        <v>78</v>
      </c>
      <c r="E126" s="77">
        <v>21.4</v>
      </c>
      <c r="F126" s="77">
        <v>2.5</v>
      </c>
      <c r="G126" s="77" t="s">
        <v>78</v>
      </c>
      <c r="H126" s="74">
        <v>58.39</v>
      </c>
      <c r="I126" s="45">
        <v>2014</v>
      </c>
      <c r="J126" s="44" t="s">
        <v>113</v>
      </c>
      <c r="K126" s="84" t="s">
        <v>260</v>
      </c>
    </row>
    <row r="127" spans="1:11" ht="28.5" x14ac:dyDescent="0.25">
      <c r="A127" s="55" t="s">
        <v>117</v>
      </c>
      <c r="B127" s="78">
        <v>6.7</v>
      </c>
      <c r="C127" s="78">
        <v>0</v>
      </c>
      <c r="D127" s="78" t="s">
        <v>78</v>
      </c>
      <c r="E127" s="78">
        <v>21.4</v>
      </c>
      <c r="F127" s="78">
        <v>2.6</v>
      </c>
      <c r="G127" s="78" t="s">
        <v>78</v>
      </c>
      <c r="H127" s="73">
        <v>52.33</v>
      </c>
      <c r="I127" s="56">
        <v>2014</v>
      </c>
      <c r="J127" s="55" t="s">
        <v>113</v>
      </c>
      <c r="K127" s="83" t="s">
        <v>260</v>
      </c>
    </row>
    <row r="128" spans="1:11" ht="30" customHeight="1" x14ac:dyDescent="0.25">
      <c r="A128" s="44" t="s">
        <v>388</v>
      </c>
      <c r="B128" s="77" t="s">
        <v>78</v>
      </c>
      <c r="C128" s="77" t="s">
        <v>78</v>
      </c>
      <c r="D128" s="77" t="s">
        <v>78</v>
      </c>
      <c r="E128" s="77">
        <v>16</v>
      </c>
      <c r="F128" s="77" t="s">
        <v>78</v>
      </c>
      <c r="G128" s="77">
        <f>24-E128</f>
        <v>8</v>
      </c>
      <c r="H128" s="74">
        <v>9</v>
      </c>
      <c r="I128" s="45">
        <v>2015</v>
      </c>
      <c r="J128" s="44" t="s">
        <v>210</v>
      </c>
      <c r="K128" s="53" t="s">
        <v>262</v>
      </c>
    </row>
    <row r="129" spans="1:11" ht="16.5" x14ac:dyDescent="0.25">
      <c r="A129" s="40" t="s">
        <v>392</v>
      </c>
      <c r="B129" s="79"/>
      <c r="C129" s="79"/>
      <c r="D129" s="79"/>
      <c r="E129" s="79"/>
      <c r="F129" s="79"/>
      <c r="G129" s="79"/>
      <c r="H129" s="75"/>
      <c r="I129" s="72"/>
      <c r="J129" s="4"/>
      <c r="K129" s="4"/>
    </row>
    <row r="130" spans="1:11" ht="29.25" customHeight="1" x14ac:dyDescent="0.25">
      <c r="A130" s="44" t="s">
        <v>292</v>
      </c>
      <c r="B130" s="77">
        <f>H130/E130/24/365*1000</f>
        <v>29.166666666666668</v>
      </c>
      <c r="C130" s="77" t="s">
        <v>78</v>
      </c>
      <c r="D130" s="77" t="s">
        <v>78</v>
      </c>
      <c r="E130" s="77">
        <v>8</v>
      </c>
      <c r="F130" s="77" t="s">
        <v>78</v>
      </c>
      <c r="G130" s="77">
        <f>24-E130</f>
        <v>16</v>
      </c>
      <c r="H130" s="74">
        <v>2044</v>
      </c>
      <c r="I130" s="45">
        <v>2015</v>
      </c>
      <c r="J130" s="44" t="s">
        <v>210</v>
      </c>
      <c r="K130" s="53" t="s">
        <v>262</v>
      </c>
    </row>
    <row r="131" spans="1:11" ht="29.25" customHeight="1" x14ac:dyDescent="0.25">
      <c r="A131" s="55" t="s">
        <v>389</v>
      </c>
      <c r="B131" s="78">
        <f>H131/E131/24/365*1000</f>
        <v>4.166666666666667</v>
      </c>
      <c r="C131" s="78" t="s">
        <v>78</v>
      </c>
      <c r="D131" s="78" t="s">
        <v>78</v>
      </c>
      <c r="E131" s="78">
        <v>8</v>
      </c>
      <c r="F131" s="78" t="s">
        <v>78</v>
      </c>
      <c r="G131" s="78">
        <f>24-E131</f>
        <v>16</v>
      </c>
      <c r="H131" s="73">
        <v>292</v>
      </c>
      <c r="I131" s="56">
        <v>2015</v>
      </c>
      <c r="J131" s="55" t="s">
        <v>210</v>
      </c>
      <c r="K131" s="57" t="s">
        <v>262</v>
      </c>
    </row>
    <row r="132" spans="1:11" ht="30.75" customHeight="1" x14ac:dyDescent="0.25">
      <c r="A132" s="44" t="s">
        <v>293</v>
      </c>
      <c r="B132" s="77">
        <f>H132/E132/24/365*1000</f>
        <v>4.166666666666667</v>
      </c>
      <c r="C132" s="77" t="s">
        <v>78</v>
      </c>
      <c r="D132" s="77" t="s">
        <v>78</v>
      </c>
      <c r="E132" s="77">
        <v>8</v>
      </c>
      <c r="F132" s="77" t="s">
        <v>78</v>
      </c>
      <c r="G132" s="77">
        <f>24-E132</f>
        <v>16</v>
      </c>
      <c r="H132" s="74">
        <v>292</v>
      </c>
      <c r="I132" s="45">
        <v>2015</v>
      </c>
      <c r="J132" s="44" t="s">
        <v>210</v>
      </c>
      <c r="K132" s="53" t="s">
        <v>262</v>
      </c>
    </row>
    <row r="133" spans="1:11" ht="30" customHeight="1" x14ac:dyDescent="0.25">
      <c r="A133" s="55" t="s">
        <v>390</v>
      </c>
      <c r="B133" s="78">
        <f>H133/E133/24/365*1000</f>
        <v>13.62728310502283</v>
      </c>
      <c r="C133" s="78" t="s">
        <v>78</v>
      </c>
      <c r="D133" s="78" t="s">
        <v>78</v>
      </c>
      <c r="E133" s="78">
        <v>24</v>
      </c>
      <c r="F133" s="78" t="s">
        <v>78</v>
      </c>
      <c r="G133" s="78">
        <f>24-E133</f>
        <v>0</v>
      </c>
      <c r="H133" s="73">
        <v>2865</v>
      </c>
      <c r="I133" s="56">
        <v>2015</v>
      </c>
      <c r="J133" s="55" t="s">
        <v>210</v>
      </c>
      <c r="K133" s="57" t="s">
        <v>262</v>
      </c>
    </row>
    <row r="134" spans="1:11" ht="16.5" x14ac:dyDescent="0.25">
      <c r="A134" s="40" t="s">
        <v>393</v>
      </c>
      <c r="B134" s="79"/>
      <c r="C134" s="79"/>
      <c r="D134" s="79"/>
      <c r="E134" s="79"/>
      <c r="F134" s="79"/>
      <c r="G134" s="79"/>
      <c r="H134" s="75"/>
      <c r="I134" s="72"/>
      <c r="J134" s="4"/>
      <c r="K134" s="4"/>
    </row>
    <row r="135" spans="1:11" ht="30" customHeight="1" x14ac:dyDescent="0.25">
      <c r="A135" s="44" t="s">
        <v>394</v>
      </c>
      <c r="B135" s="77">
        <f>H135/E135/24/365*1000</f>
        <v>7.3630136986301373</v>
      </c>
      <c r="C135" s="77" t="s">
        <v>78</v>
      </c>
      <c r="D135" s="77" t="s">
        <v>78</v>
      </c>
      <c r="E135" s="77">
        <v>24</v>
      </c>
      <c r="F135" s="77" t="s">
        <v>78</v>
      </c>
      <c r="G135" s="77">
        <f>24-E135</f>
        <v>0</v>
      </c>
      <c r="H135" s="74">
        <v>1548</v>
      </c>
      <c r="I135" s="45">
        <v>2015</v>
      </c>
      <c r="J135" s="44" t="s">
        <v>210</v>
      </c>
      <c r="K135" s="53" t="s">
        <v>262</v>
      </c>
    </row>
    <row r="136" spans="1:11" ht="29.25" customHeight="1" x14ac:dyDescent="0.25">
      <c r="A136" s="55" t="s">
        <v>395</v>
      </c>
      <c r="B136" s="78">
        <f>H136/E136/24/365*1000</f>
        <v>23.192541856925416</v>
      </c>
      <c r="C136" s="78" t="s">
        <v>78</v>
      </c>
      <c r="D136" s="78" t="s">
        <v>78</v>
      </c>
      <c r="E136" s="78">
        <v>24</v>
      </c>
      <c r="F136" s="78" t="s">
        <v>78</v>
      </c>
      <c r="G136" s="78">
        <f>24-E136</f>
        <v>0</v>
      </c>
      <c r="H136" s="73">
        <v>4876</v>
      </c>
      <c r="I136" s="56">
        <v>2015</v>
      </c>
      <c r="J136" s="55" t="s">
        <v>210</v>
      </c>
      <c r="K136" s="57" t="s">
        <v>262</v>
      </c>
    </row>
    <row r="137" spans="1:11" ht="29.25" customHeight="1" x14ac:dyDescent="0.25">
      <c r="A137" s="44" t="s">
        <v>396</v>
      </c>
      <c r="B137" s="77">
        <f>H137/E137/24/365*1000</f>
        <v>36.719939117199395</v>
      </c>
      <c r="C137" s="77" t="s">
        <v>78</v>
      </c>
      <c r="D137" s="77" t="s">
        <v>78</v>
      </c>
      <c r="E137" s="77">
        <v>24</v>
      </c>
      <c r="F137" s="77" t="s">
        <v>78</v>
      </c>
      <c r="G137" s="77">
        <f>24-E137</f>
        <v>0</v>
      </c>
      <c r="H137" s="74">
        <v>7720</v>
      </c>
      <c r="I137" s="45">
        <v>2015</v>
      </c>
      <c r="J137" s="44" t="s">
        <v>210</v>
      </c>
      <c r="K137" s="53" t="s">
        <v>262</v>
      </c>
    </row>
    <row r="138" spans="1:11" ht="29.25" customHeight="1" x14ac:dyDescent="0.25">
      <c r="A138" s="55" t="s">
        <v>397</v>
      </c>
      <c r="B138" s="78" t="s">
        <v>78</v>
      </c>
      <c r="C138" s="78" t="s">
        <v>78</v>
      </c>
      <c r="D138" s="78" t="s">
        <v>78</v>
      </c>
      <c r="E138" s="78" t="s">
        <v>78</v>
      </c>
      <c r="F138" s="78" t="s">
        <v>78</v>
      </c>
      <c r="G138" s="78" t="s">
        <v>78</v>
      </c>
      <c r="H138" s="73">
        <v>1170</v>
      </c>
      <c r="I138" s="56">
        <v>2015</v>
      </c>
      <c r="J138" s="55" t="s">
        <v>210</v>
      </c>
      <c r="K138" s="57" t="s">
        <v>262</v>
      </c>
    </row>
    <row r="139" spans="1:11" ht="29.25" customHeight="1" x14ac:dyDescent="0.25">
      <c r="A139" s="44" t="s">
        <v>405</v>
      </c>
      <c r="B139" s="77" t="s">
        <v>78</v>
      </c>
      <c r="C139" s="77" t="s">
        <v>78</v>
      </c>
      <c r="D139" s="77" t="s">
        <v>78</v>
      </c>
      <c r="E139" s="77" t="s">
        <v>78</v>
      </c>
      <c r="F139" s="77" t="s">
        <v>78</v>
      </c>
      <c r="G139" s="77" t="s">
        <v>78</v>
      </c>
      <c r="H139" s="74">
        <v>11700</v>
      </c>
      <c r="I139" s="45">
        <v>2015</v>
      </c>
      <c r="J139" s="44" t="s">
        <v>210</v>
      </c>
      <c r="K139" s="53" t="s">
        <v>262</v>
      </c>
    </row>
    <row r="140" spans="1:11" ht="29.25" customHeight="1" x14ac:dyDescent="0.25">
      <c r="A140" s="55" t="s">
        <v>398</v>
      </c>
      <c r="B140" s="78" t="s">
        <v>78</v>
      </c>
      <c r="C140" s="78" t="s">
        <v>78</v>
      </c>
      <c r="D140" s="78" t="s">
        <v>78</v>
      </c>
      <c r="E140" s="78" t="s">
        <v>78</v>
      </c>
      <c r="F140" s="78" t="s">
        <v>78</v>
      </c>
      <c r="G140" s="78" t="s">
        <v>78</v>
      </c>
      <c r="H140" s="73">
        <v>14</v>
      </c>
      <c r="I140" s="56">
        <v>2015</v>
      </c>
      <c r="J140" s="55" t="s">
        <v>210</v>
      </c>
      <c r="K140" s="57" t="s">
        <v>262</v>
      </c>
    </row>
    <row r="141" spans="1:11" ht="29.25" customHeight="1" x14ac:dyDescent="0.25">
      <c r="A141" s="44" t="s">
        <v>399</v>
      </c>
      <c r="B141" s="77" t="s">
        <v>78</v>
      </c>
      <c r="C141" s="77" t="s">
        <v>78</v>
      </c>
      <c r="D141" s="77" t="s">
        <v>78</v>
      </c>
      <c r="E141" s="77" t="s">
        <v>78</v>
      </c>
      <c r="F141" s="77" t="s">
        <v>78</v>
      </c>
      <c r="G141" s="77" t="s">
        <v>78</v>
      </c>
      <c r="H141" s="74">
        <v>91</v>
      </c>
      <c r="I141" s="45">
        <v>2015</v>
      </c>
      <c r="J141" s="44" t="s">
        <v>210</v>
      </c>
      <c r="K141" s="53" t="s">
        <v>262</v>
      </c>
    </row>
    <row r="142" spans="1:11" ht="30" customHeight="1" x14ac:dyDescent="0.25">
      <c r="A142" s="55" t="s">
        <v>406</v>
      </c>
      <c r="B142" s="78" t="s">
        <v>78</v>
      </c>
      <c r="C142" s="78" t="s">
        <v>78</v>
      </c>
      <c r="D142" s="78" t="s">
        <v>78</v>
      </c>
      <c r="E142" s="78" t="s">
        <v>78</v>
      </c>
      <c r="F142" s="78" t="s">
        <v>78</v>
      </c>
      <c r="G142" s="78" t="s">
        <v>78</v>
      </c>
      <c r="H142" s="73">
        <v>1007</v>
      </c>
      <c r="I142" s="56">
        <v>2015</v>
      </c>
      <c r="J142" s="55" t="s">
        <v>210</v>
      </c>
      <c r="K142" s="57" t="s">
        <v>262</v>
      </c>
    </row>
    <row r="143" spans="1:11" ht="29.25" customHeight="1" x14ac:dyDescent="0.25">
      <c r="A143" s="44" t="s">
        <v>400</v>
      </c>
      <c r="B143" s="77">
        <f>H143/E143/24/365*1000</f>
        <v>4.775494672754947</v>
      </c>
      <c r="C143" s="77" t="s">
        <v>78</v>
      </c>
      <c r="D143" s="77" t="s">
        <v>78</v>
      </c>
      <c r="E143" s="77">
        <v>24</v>
      </c>
      <c r="F143" s="77" t="s">
        <v>78</v>
      </c>
      <c r="G143" s="77">
        <f>24-E143</f>
        <v>0</v>
      </c>
      <c r="H143" s="74">
        <v>1004</v>
      </c>
      <c r="I143" s="45">
        <v>2015</v>
      </c>
      <c r="J143" s="44" t="s">
        <v>210</v>
      </c>
      <c r="K143" s="53" t="s">
        <v>262</v>
      </c>
    </row>
    <row r="144" spans="1:11" ht="30.75" customHeight="1" x14ac:dyDescent="0.25">
      <c r="A144" s="55" t="s">
        <v>401</v>
      </c>
      <c r="B144" s="78">
        <f>H144/E144/24/365*1000</f>
        <v>4.775494672754947</v>
      </c>
      <c r="C144" s="78" t="s">
        <v>78</v>
      </c>
      <c r="D144" s="78" t="s">
        <v>78</v>
      </c>
      <c r="E144" s="78">
        <v>24</v>
      </c>
      <c r="F144" s="78" t="s">
        <v>78</v>
      </c>
      <c r="G144" s="78">
        <f>24-E144</f>
        <v>0</v>
      </c>
      <c r="H144" s="73">
        <v>1004</v>
      </c>
      <c r="I144" s="56">
        <v>2015</v>
      </c>
      <c r="J144" s="55" t="s">
        <v>210</v>
      </c>
      <c r="K144" s="57" t="s">
        <v>262</v>
      </c>
    </row>
    <row r="145" spans="1:11" ht="28.5" customHeight="1" x14ac:dyDescent="0.25">
      <c r="A145" s="44" t="s">
        <v>400</v>
      </c>
      <c r="B145" s="77">
        <f>H145/E145/24/365*1000</f>
        <v>12.775875190258752</v>
      </c>
      <c r="C145" s="77" t="s">
        <v>78</v>
      </c>
      <c r="D145" s="77" t="s">
        <v>78</v>
      </c>
      <c r="E145" s="77">
        <v>24</v>
      </c>
      <c r="F145" s="77" t="s">
        <v>78</v>
      </c>
      <c r="G145" s="77">
        <f>24-E145</f>
        <v>0</v>
      </c>
      <c r="H145" s="74">
        <v>2686</v>
      </c>
      <c r="I145" s="45">
        <v>2015</v>
      </c>
      <c r="J145" s="44" t="s">
        <v>210</v>
      </c>
      <c r="K145" s="53" t="s">
        <v>262</v>
      </c>
    </row>
    <row r="146" spans="1:11" ht="30" customHeight="1" x14ac:dyDescent="0.25">
      <c r="A146" s="55" t="s">
        <v>222</v>
      </c>
      <c r="B146" s="78">
        <f>H146/E146/24/365*1000</f>
        <v>4.9942922374429228</v>
      </c>
      <c r="C146" s="78" t="s">
        <v>78</v>
      </c>
      <c r="D146" s="78" t="s">
        <v>78</v>
      </c>
      <c r="E146" s="78">
        <v>8</v>
      </c>
      <c r="F146" s="78" t="s">
        <v>78</v>
      </c>
      <c r="G146" s="78">
        <f>24-E146</f>
        <v>16</v>
      </c>
      <c r="H146" s="73">
        <v>350</v>
      </c>
      <c r="I146" s="56">
        <v>2015</v>
      </c>
      <c r="J146" s="55" t="s">
        <v>210</v>
      </c>
      <c r="K146" s="57" t="s">
        <v>262</v>
      </c>
    </row>
    <row r="147" spans="1:11" ht="30.75" customHeight="1" x14ac:dyDescent="0.25">
      <c r="A147" s="44" t="s">
        <v>402</v>
      </c>
      <c r="B147" s="77" t="s">
        <v>78</v>
      </c>
      <c r="C147" s="77" t="s">
        <v>78</v>
      </c>
      <c r="D147" s="77" t="s">
        <v>78</v>
      </c>
      <c r="E147" s="77" t="s">
        <v>78</v>
      </c>
      <c r="F147" s="77" t="s">
        <v>78</v>
      </c>
      <c r="G147" s="77" t="s">
        <v>78</v>
      </c>
      <c r="H147" s="74">
        <v>2245</v>
      </c>
      <c r="I147" s="45">
        <v>2015</v>
      </c>
      <c r="J147" s="44" t="s">
        <v>210</v>
      </c>
      <c r="K147" s="53" t="s">
        <v>262</v>
      </c>
    </row>
    <row r="148" spans="1:11" ht="29.25" customHeight="1" x14ac:dyDescent="0.25">
      <c r="A148" s="55" t="s">
        <v>403</v>
      </c>
      <c r="B148" s="78" t="s">
        <v>78</v>
      </c>
      <c r="C148" s="78" t="s">
        <v>78</v>
      </c>
      <c r="D148" s="78" t="s">
        <v>78</v>
      </c>
      <c r="E148" s="78" t="s">
        <v>78</v>
      </c>
      <c r="F148" s="78" t="s">
        <v>78</v>
      </c>
      <c r="G148" s="78" t="s">
        <v>78</v>
      </c>
      <c r="H148" s="73">
        <v>262</v>
      </c>
      <c r="I148" s="56">
        <v>2015</v>
      </c>
      <c r="J148" s="55" t="s">
        <v>210</v>
      </c>
      <c r="K148" s="57" t="s">
        <v>262</v>
      </c>
    </row>
    <row r="149" spans="1:11" ht="29.25" customHeight="1" x14ac:dyDescent="0.25">
      <c r="A149" s="44" t="s">
        <v>402</v>
      </c>
      <c r="B149" s="77" t="s">
        <v>78</v>
      </c>
      <c r="C149" s="77" t="s">
        <v>78</v>
      </c>
      <c r="D149" s="77" t="s">
        <v>78</v>
      </c>
      <c r="E149" s="77" t="s">
        <v>78</v>
      </c>
      <c r="F149" s="77" t="s">
        <v>78</v>
      </c>
      <c r="G149" s="77" t="s">
        <v>78</v>
      </c>
      <c r="H149" s="74">
        <v>2245</v>
      </c>
      <c r="I149" s="45">
        <v>2015</v>
      </c>
      <c r="J149" s="44" t="s">
        <v>210</v>
      </c>
      <c r="K149" s="53" t="s">
        <v>262</v>
      </c>
    </row>
    <row r="150" spans="1:11" ht="29.25" customHeight="1" x14ac:dyDescent="0.25">
      <c r="A150" s="55" t="s">
        <v>404</v>
      </c>
      <c r="B150" s="78" t="s">
        <v>78</v>
      </c>
      <c r="C150" s="78" t="s">
        <v>78</v>
      </c>
      <c r="D150" s="78" t="s">
        <v>78</v>
      </c>
      <c r="E150" s="78" t="s">
        <v>78</v>
      </c>
      <c r="F150" s="78" t="s">
        <v>78</v>
      </c>
      <c r="G150" s="78" t="s">
        <v>78</v>
      </c>
      <c r="H150" s="73">
        <v>6570</v>
      </c>
      <c r="I150" s="56">
        <v>2015</v>
      </c>
      <c r="J150" s="55" t="s">
        <v>210</v>
      </c>
      <c r="K150" s="57" t="s">
        <v>262</v>
      </c>
    </row>
    <row r="151" spans="1:11" ht="29.25" customHeight="1" x14ac:dyDescent="0.25">
      <c r="A151" s="44" t="s">
        <v>407</v>
      </c>
      <c r="B151" s="77" t="s">
        <v>78</v>
      </c>
      <c r="C151" s="77" t="s">
        <v>78</v>
      </c>
      <c r="D151" s="77" t="s">
        <v>78</v>
      </c>
      <c r="E151" s="77" t="s">
        <v>78</v>
      </c>
      <c r="F151" s="77" t="s">
        <v>78</v>
      </c>
      <c r="G151" s="77" t="s">
        <v>78</v>
      </c>
      <c r="H151" s="74">
        <v>3723</v>
      </c>
      <c r="I151" s="45">
        <v>2015</v>
      </c>
      <c r="J151" s="44" t="s">
        <v>210</v>
      </c>
      <c r="K151" s="53" t="s">
        <v>262</v>
      </c>
    </row>
    <row r="152" spans="1:11" ht="29.25" customHeight="1" x14ac:dyDescent="0.25">
      <c r="A152" s="55" t="s">
        <v>223</v>
      </c>
      <c r="B152" s="78">
        <v>32</v>
      </c>
      <c r="C152" s="78" t="s">
        <v>78</v>
      </c>
      <c r="D152" s="78" t="s">
        <v>78</v>
      </c>
      <c r="E152" s="78">
        <v>18</v>
      </c>
      <c r="F152" s="78" t="s">
        <v>78</v>
      </c>
      <c r="G152" s="78">
        <f>24-E152</f>
        <v>6</v>
      </c>
      <c r="H152" s="73">
        <v>250</v>
      </c>
      <c r="I152" s="56">
        <v>2015</v>
      </c>
      <c r="J152" s="55" t="s">
        <v>210</v>
      </c>
      <c r="K152" s="57" t="s">
        <v>262</v>
      </c>
    </row>
    <row r="153" spans="1:11" ht="29.25" customHeight="1" x14ac:dyDescent="0.25">
      <c r="A153" s="44" t="s">
        <v>408</v>
      </c>
      <c r="B153" s="77">
        <f>H153/E153/24/365*1000</f>
        <v>2.7397260273972601</v>
      </c>
      <c r="C153" s="77" t="s">
        <v>78</v>
      </c>
      <c r="D153" s="77" t="s">
        <v>78</v>
      </c>
      <c r="E153" s="77">
        <v>1</v>
      </c>
      <c r="F153" s="77" t="s">
        <v>78</v>
      </c>
      <c r="G153" s="77">
        <f>24-E153</f>
        <v>23</v>
      </c>
      <c r="H153" s="74">
        <v>24</v>
      </c>
      <c r="I153" s="45">
        <v>2015</v>
      </c>
      <c r="J153" s="44" t="s">
        <v>210</v>
      </c>
      <c r="K153" s="53" t="s">
        <v>262</v>
      </c>
    </row>
    <row r="154" spans="1:11" ht="30" customHeight="1" x14ac:dyDescent="0.25">
      <c r="A154" s="55" t="s">
        <v>409</v>
      </c>
      <c r="B154" s="78">
        <f>H154/E154/24/365*1000</f>
        <v>3.2962328767123288</v>
      </c>
      <c r="C154" s="78" t="s">
        <v>78</v>
      </c>
      <c r="D154" s="78" t="s">
        <v>78</v>
      </c>
      <c r="E154" s="78">
        <v>8</v>
      </c>
      <c r="F154" s="78" t="s">
        <v>78</v>
      </c>
      <c r="G154" s="78">
        <f>24-E154</f>
        <v>16</v>
      </c>
      <c r="H154" s="73">
        <v>231</v>
      </c>
      <c r="I154" s="56">
        <v>2015</v>
      </c>
      <c r="J154" s="55" t="s">
        <v>210</v>
      </c>
      <c r="K154" s="57" t="s">
        <v>262</v>
      </c>
    </row>
    <row r="155" spans="1:11" ht="28.5" customHeight="1" x14ac:dyDescent="0.25">
      <c r="A155" s="44" t="s">
        <v>410</v>
      </c>
      <c r="B155" s="77">
        <f>H155/E155/24/365*1000</f>
        <v>31.164383561643834</v>
      </c>
      <c r="C155" s="77" t="s">
        <v>78</v>
      </c>
      <c r="D155" s="77" t="s">
        <v>78</v>
      </c>
      <c r="E155" s="77">
        <v>8</v>
      </c>
      <c r="F155" s="77" t="s">
        <v>78</v>
      </c>
      <c r="G155" s="77">
        <f>24-E155</f>
        <v>16</v>
      </c>
      <c r="H155" s="74">
        <v>2184</v>
      </c>
      <c r="I155" s="45">
        <v>2015</v>
      </c>
      <c r="J155" s="44" t="s">
        <v>210</v>
      </c>
      <c r="K155" s="53" t="s">
        <v>262</v>
      </c>
    </row>
    <row r="156" spans="1:11" ht="30.75" customHeight="1" x14ac:dyDescent="0.25">
      <c r="A156" s="55" t="s">
        <v>411</v>
      </c>
      <c r="B156" s="78" t="s">
        <v>78</v>
      </c>
      <c r="C156" s="78" t="s">
        <v>78</v>
      </c>
      <c r="D156" s="78" t="s">
        <v>78</v>
      </c>
      <c r="E156" s="78" t="s">
        <v>78</v>
      </c>
      <c r="F156" s="78" t="s">
        <v>78</v>
      </c>
      <c r="G156" s="78" t="s">
        <v>78</v>
      </c>
      <c r="H156" s="73">
        <v>243</v>
      </c>
      <c r="I156" s="56">
        <v>2015</v>
      </c>
      <c r="J156" s="55" t="s">
        <v>210</v>
      </c>
      <c r="K156" s="57" t="s">
        <v>262</v>
      </c>
    </row>
    <row r="157" spans="1:11" ht="29.25" customHeight="1" x14ac:dyDescent="0.25">
      <c r="A157" s="44" t="s">
        <v>412</v>
      </c>
      <c r="B157" s="77">
        <f>H157/E157/24/365*1000</f>
        <v>43.388508371385079</v>
      </c>
      <c r="C157" s="77" t="s">
        <v>78</v>
      </c>
      <c r="D157" s="77" t="s">
        <v>78</v>
      </c>
      <c r="E157" s="77">
        <v>12</v>
      </c>
      <c r="F157" s="77" t="s">
        <v>78</v>
      </c>
      <c r="G157" s="77">
        <f>24-E157</f>
        <v>12</v>
      </c>
      <c r="H157" s="74">
        <v>4561</v>
      </c>
      <c r="I157" s="45">
        <v>2015</v>
      </c>
      <c r="J157" s="44" t="s">
        <v>210</v>
      </c>
      <c r="K157" s="53" t="s">
        <v>262</v>
      </c>
    </row>
    <row r="158" spans="1:11" ht="30" customHeight="1" x14ac:dyDescent="0.25">
      <c r="A158" s="55" t="s">
        <v>413</v>
      </c>
      <c r="B158" s="78">
        <f>H158/E158/24/365*1000</f>
        <v>36.6248097412481</v>
      </c>
      <c r="C158" s="78" t="s">
        <v>78</v>
      </c>
      <c r="D158" s="78" t="s">
        <v>78</v>
      </c>
      <c r="E158" s="78">
        <v>12</v>
      </c>
      <c r="F158" s="78" t="s">
        <v>78</v>
      </c>
      <c r="G158" s="78">
        <f>24-E158</f>
        <v>12</v>
      </c>
      <c r="H158" s="73">
        <v>3850</v>
      </c>
      <c r="I158" s="56">
        <v>2015</v>
      </c>
      <c r="J158" s="55" t="s">
        <v>210</v>
      </c>
      <c r="K158" s="57" t="s">
        <v>262</v>
      </c>
    </row>
    <row r="159" spans="1:11" ht="16.5" x14ac:dyDescent="0.25">
      <c r="A159" s="40" t="s">
        <v>221</v>
      </c>
      <c r="B159" s="79"/>
      <c r="C159" s="79"/>
      <c r="D159" s="79"/>
      <c r="E159" s="79"/>
      <c r="F159" s="79"/>
      <c r="G159" s="79"/>
      <c r="H159" s="75"/>
      <c r="I159" s="72"/>
      <c r="J159" s="4"/>
      <c r="K159" s="4"/>
    </row>
    <row r="160" spans="1:11" ht="28.5" x14ac:dyDescent="0.25">
      <c r="A160" s="44" t="s">
        <v>414</v>
      </c>
      <c r="B160" s="77">
        <v>40</v>
      </c>
      <c r="C160" s="77" t="s">
        <v>78</v>
      </c>
      <c r="D160" s="77" t="s">
        <v>78</v>
      </c>
      <c r="E160" s="77">
        <v>24</v>
      </c>
      <c r="F160" s="77" t="s">
        <v>78</v>
      </c>
      <c r="G160" s="77" t="s">
        <v>78</v>
      </c>
      <c r="H160" s="74">
        <f>B160*E160*365/1000</f>
        <v>350.4</v>
      </c>
      <c r="I160" s="45">
        <v>2014</v>
      </c>
      <c r="J160" s="44" t="s">
        <v>190</v>
      </c>
      <c r="K160" s="82" t="s">
        <v>101</v>
      </c>
    </row>
    <row r="161" spans="1:14" ht="28.5" x14ac:dyDescent="0.25">
      <c r="A161" s="55" t="s">
        <v>199</v>
      </c>
      <c r="B161" s="78">
        <v>2.9</v>
      </c>
      <c r="C161" s="78" t="s">
        <v>78</v>
      </c>
      <c r="D161" s="78" t="s">
        <v>78</v>
      </c>
      <c r="E161" s="78">
        <v>24</v>
      </c>
      <c r="F161" s="78" t="s">
        <v>78</v>
      </c>
      <c r="G161" s="78" t="s">
        <v>78</v>
      </c>
      <c r="H161" s="73">
        <f>B161*E161*365/1000</f>
        <v>25.403999999999996</v>
      </c>
      <c r="I161" s="56">
        <v>2014</v>
      </c>
      <c r="J161" s="55" t="s">
        <v>190</v>
      </c>
      <c r="K161" s="81" t="s">
        <v>101</v>
      </c>
    </row>
    <row r="162" spans="1:14" ht="28.5" customHeight="1" x14ac:dyDescent="0.25">
      <c r="A162" s="44" t="s">
        <v>415</v>
      </c>
      <c r="B162" s="77">
        <f>H162/E162/365*1000</f>
        <v>306.73515981735159</v>
      </c>
      <c r="C162" s="77" t="s">
        <v>78</v>
      </c>
      <c r="D162" s="77" t="s">
        <v>78</v>
      </c>
      <c r="E162" s="77">
        <v>24</v>
      </c>
      <c r="F162" s="77" t="s">
        <v>78</v>
      </c>
      <c r="G162" s="77" t="s">
        <v>78</v>
      </c>
      <c r="H162" s="74">
        <v>2687</v>
      </c>
      <c r="I162" s="45">
        <v>2015</v>
      </c>
      <c r="J162" s="44" t="s">
        <v>210</v>
      </c>
      <c r="K162" s="53" t="s">
        <v>262</v>
      </c>
    </row>
    <row r="163" spans="1:14" ht="29.25" customHeight="1" x14ac:dyDescent="0.25">
      <c r="A163" s="55" t="s">
        <v>416</v>
      </c>
      <c r="B163" s="78">
        <f>H163/E163/365*1000</f>
        <v>195.89041095890411</v>
      </c>
      <c r="C163" s="78" t="s">
        <v>78</v>
      </c>
      <c r="D163" s="78" t="s">
        <v>78</v>
      </c>
      <c r="E163" s="78">
        <v>24</v>
      </c>
      <c r="F163" s="78" t="s">
        <v>78</v>
      </c>
      <c r="G163" s="78" t="s">
        <v>78</v>
      </c>
      <c r="H163" s="73">
        <v>1716</v>
      </c>
      <c r="I163" s="56">
        <v>2015</v>
      </c>
      <c r="J163" s="55" t="s">
        <v>210</v>
      </c>
      <c r="K163" s="57" t="s">
        <v>262</v>
      </c>
    </row>
    <row r="164" spans="1:14" ht="30.75" customHeight="1" x14ac:dyDescent="0.25">
      <c r="A164" s="44" t="s">
        <v>417</v>
      </c>
      <c r="B164" s="77">
        <f>H164/E164/365*1000</f>
        <v>6.6210045662100461</v>
      </c>
      <c r="C164" s="77" t="s">
        <v>78</v>
      </c>
      <c r="D164" s="77" t="s">
        <v>78</v>
      </c>
      <c r="E164" s="77">
        <v>24</v>
      </c>
      <c r="F164" s="77" t="s">
        <v>78</v>
      </c>
      <c r="G164" s="77" t="s">
        <v>78</v>
      </c>
      <c r="H164" s="74">
        <v>58</v>
      </c>
      <c r="I164" s="45">
        <v>2015</v>
      </c>
      <c r="J164" s="44" t="s">
        <v>210</v>
      </c>
      <c r="K164" s="53" t="s">
        <v>262</v>
      </c>
    </row>
    <row r="165" spans="1:14" ht="30.75" customHeight="1" x14ac:dyDescent="0.25">
      <c r="A165" s="55" t="s">
        <v>418</v>
      </c>
      <c r="B165" s="78">
        <f>H165/E165/365*1000</f>
        <v>33.561643835616437</v>
      </c>
      <c r="C165" s="78" t="s">
        <v>78</v>
      </c>
      <c r="D165" s="78" t="s">
        <v>78</v>
      </c>
      <c r="E165" s="78">
        <v>24</v>
      </c>
      <c r="F165" s="78" t="s">
        <v>78</v>
      </c>
      <c r="G165" s="78" t="s">
        <v>78</v>
      </c>
      <c r="H165" s="73">
        <v>294</v>
      </c>
      <c r="I165" s="56">
        <v>2015</v>
      </c>
      <c r="J165" s="55" t="s">
        <v>210</v>
      </c>
      <c r="K165" s="57" t="s">
        <v>262</v>
      </c>
    </row>
    <row r="166" spans="1:14" ht="29.25" customHeight="1" x14ac:dyDescent="0.25">
      <c r="A166" s="44" t="s">
        <v>419</v>
      </c>
      <c r="B166" s="77">
        <f>H166/E166/365*1000</f>
        <v>21.917808219178081</v>
      </c>
      <c r="C166" s="77" t="s">
        <v>78</v>
      </c>
      <c r="D166" s="77" t="s">
        <v>78</v>
      </c>
      <c r="E166" s="77">
        <v>24</v>
      </c>
      <c r="F166" s="77" t="s">
        <v>78</v>
      </c>
      <c r="G166" s="77" t="s">
        <v>78</v>
      </c>
      <c r="H166" s="74">
        <v>192</v>
      </c>
      <c r="I166" s="45">
        <v>2015</v>
      </c>
      <c r="J166" s="44" t="s">
        <v>210</v>
      </c>
      <c r="K166" s="53" t="s">
        <v>262</v>
      </c>
    </row>
    <row r="167" spans="1:14" ht="28.5" x14ac:dyDescent="0.25">
      <c r="A167" s="55" t="s">
        <v>30</v>
      </c>
      <c r="B167" s="78">
        <f>2.5/4</f>
        <v>0.625</v>
      </c>
      <c r="C167" s="78" t="s">
        <v>78</v>
      </c>
      <c r="D167" s="78" t="s">
        <v>78</v>
      </c>
      <c r="E167" s="78">
        <v>24</v>
      </c>
      <c r="F167" s="78" t="s">
        <v>78</v>
      </c>
      <c r="G167" s="78" t="s">
        <v>78</v>
      </c>
      <c r="H167" s="73">
        <f>B167*E167*365/1000</f>
        <v>5.4749999999999996</v>
      </c>
      <c r="I167" s="56">
        <v>2016</v>
      </c>
      <c r="J167" s="55" t="s">
        <v>253</v>
      </c>
      <c r="K167" s="81" t="s">
        <v>252</v>
      </c>
    </row>
    <row r="168" spans="1:14" ht="28.5" x14ac:dyDescent="0.25">
      <c r="A168" s="59" t="s">
        <v>420</v>
      </c>
      <c r="B168" s="80">
        <v>27772</v>
      </c>
      <c r="C168" s="80">
        <v>2849</v>
      </c>
      <c r="D168" s="80">
        <v>346</v>
      </c>
      <c r="E168" s="80">
        <f>762/365</f>
        <v>2.0876712328767124</v>
      </c>
      <c r="F168" s="80">
        <f>2512/365</f>
        <v>6.882191780821918</v>
      </c>
      <c r="G168" s="80">
        <f>24-F168-E168</f>
        <v>15.030136986301368</v>
      </c>
      <c r="H168" s="76">
        <v>15000</v>
      </c>
      <c r="I168" s="60">
        <v>2015</v>
      </c>
      <c r="J168" s="59" t="s">
        <v>230</v>
      </c>
      <c r="K168" s="85" t="s">
        <v>188</v>
      </c>
    </row>
    <row r="169" spans="1:14" ht="6" customHeight="1" x14ac:dyDescent="0.25"/>
    <row r="170" spans="1:14" ht="118.5" customHeight="1" x14ac:dyDescent="0.25">
      <c r="A170" s="98" t="s">
        <v>421</v>
      </c>
      <c r="B170" s="98"/>
      <c r="C170" s="98"/>
      <c r="D170" s="98"/>
      <c r="E170" s="98"/>
      <c r="F170" s="98"/>
      <c r="G170" s="98"/>
      <c r="H170" s="98"/>
      <c r="I170" s="98"/>
      <c r="K170" s="61" t="s">
        <v>288</v>
      </c>
    </row>
    <row r="173" spans="1:14" x14ac:dyDescent="0.25">
      <c r="D173" s="44"/>
      <c r="E173" s="45"/>
      <c r="F173" s="45"/>
      <c r="G173" s="45"/>
      <c r="H173" s="45"/>
      <c r="I173" s="45"/>
      <c r="J173" s="45"/>
      <c r="K173" s="45"/>
      <c r="L173" s="45"/>
      <c r="M173" s="44"/>
      <c r="N173" s="53"/>
    </row>
    <row r="174" spans="1:14" x14ac:dyDescent="0.25"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</row>
  </sheetData>
  <mergeCells count="7">
    <mergeCell ref="A10:K11"/>
    <mergeCell ref="A170:I170"/>
    <mergeCell ref="E14:G14"/>
    <mergeCell ref="B13:D13"/>
    <mergeCell ref="E13:G13"/>
    <mergeCell ref="H13:H15"/>
    <mergeCell ref="B14:D14"/>
  </mergeCells>
  <hyperlinks>
    <hyperlink ref="K110" r:id="rId1"/>
    <hyperlink ref="K108" r:id="rId2"/>
    <hyperlink ref="K126" r:id="rId3"/>
    <hyperlink ref="K125" r:id="rId4"/>
    <hyperlink ref="K127" r:id="rId5"/>
    <hyperlink ref="K111" r:id="rId6"/>
    <hyperlink ref="K109" r:id="rId7"/>
    <hyperlink ref="K17" r:id="rId8" location="Tab6"/>
    <hyperlink ref="K18" r:id="rId9" location="Tab6"/>
    <hyperlink ref="K20" r:id="rId10"/>
    <hyperlink ref="K21" r:id="rId11"/>
    <hyperlink ref="K22" r:id="rId12"/>
    <hyperlink ref="K23" r:id="rId13"/>
    <hyperlink ref="K24" r:id="rId14"/>
    <hyperlink ref="K25" r:id="rId15"/>
    <hyperlink ref="K26" r:id="rId16"/>
    <hyperlink ref="K27" r:id="rId17"/>
    <hyperlink ref="K28" r:id="rId18"/>
    <hyperlink ref="K29" r:id="rId19"/>
    <hyperlink ref="K31" r:id="rId20"/>
    <hyperlink ref="K32" r:id="rId21"/>
    <hyperlink ref="K33" r:id="rId22"/>
    <hyperlink ref="K34" r:id="rId23"/>
    <hyperlink ref="K35" r:id="rId24"/>
    <hyperlink ref="K36" r:id="rId25"/>
    <hyperlink ref="K37" r:id="rId26"/>
    <hyperlink ref="K38" r:id="rId27"/>
    <hyperlink ref="K39" r:id="rId28"/>
    <hyperlink ref="K40" r:id="rId29"/>
    <hyperlink ref="K41" r:id="rId30"/>
    <hyperlink ref="K42" r:id="rId31"/>
    <hyperlink ref="K43" r:id="rId32"/>
    <hyperlink ref="K44" r:id="rId33"/>
    <hyperlink ref="K45" r:id="rId34"/>
    <hyperlink ref="K46" r:id="rId35"/>
    <hyperlink ref="K47" r:id="rId36"/>
    <hyperlink ref="K48" r:id="rId37"/>
    <hyperlink ref="K49" r:id="rId38"/>
    <hyperlink ref="K50" r:id="rId39"/>
    <hyperlink ref="K51" r:id="rId40"/>
    <hyperlink ref="K52" r:id="rId41"/>
    <hyperlink ref="K53" r:id="rId42"/>
    <hyperlink ref="K54" r:id="rId43"/>
    <hyperlink ref="K55" r:id="rId44"/>
    <hyperlink ref="K56" r:id="rId45"/>
    <hyperlink ref="K57" r:id="rId46"/>
    <hyperlink ref="K58" r:id="rId47"/>
    <hyperlink ref="K59" r:id="rId48"/>
    <hyperlink ref="K60" r:id="rId49"/>
    <hyperlink ref="K61" r:id="rId50"/>
    <hyperlink ref="K62" r:id="rId51"/>
    <hyperlink ref="K63" r:id="rId52"/>
    <hyperlink ref="K64" r:id="rId53"/>
    <hyperlink ref="K65" r:id="rId54"/>
    <hyperlink ref="K66" r:id="rId55"/>
    <hyperlink ref="K67" r:id="rId56"/>
    <hyperlink ref="K68" r:id="rId57"/>
    <hyperlink ref="K69" r:id="rId58"/>
    <hyperlink ref="K70" r:id="rId59"/>
    <hyperlink ref="K71" r:id="rId60"/>
    <hyperlink ref="K72" r:id="rId61"/>
    <hyperlink ref="K73" r:id="rId62"/>
    <hyperlink ref="K74" r:id="rId63"/>
    <hyperlink ref="K75" r:id="rId64"/>
    <hyperlink ref="K76" r:id="rId65"/>
    <hyperlink ref="K77" r:id="rId66"/>
    <hyperlink ref="K78" r:id="rId67"/>
    <hyperlink ref="K82" r:id="rId68"/>
    <hyperlink ref="K83" r:id="rId69"/>
    <hyperlink ref="K94" r:id="rId70"/>
    <hyperlink ref="K95" r:id="rId71"/>
    <hyperlink ref="K104" r:id="rId72" location="Tab6"/>
    <hyperlink ref="K105" r:id="rId73" location="Tab6"/>
    <hyperlink ref="K106" r:id="rId74" location="Tab6"/>
    <hyperlink ref="K107" r:id="rId75" location="Tab6"/>
    <hyperlink ref="K116" r:id="rId76" location="Tab6"/>
    <hyperlink ref="K117" r:id="rId77" location="Tab6"/>
    <hyperlink ref="K118" r:id="rId78" location="Tab6"/>
    <hyperlink ref="K119" r:id="rId79" location="Tab6"/>
    <hyperlink ref="K120" r:id="rId80" location="Tab6"/>
    <hyperlink ref="K121" r:id="rId81" location="Tab6"/>
    <hyperlink ref="K122" r:id="rId82" location="Tab6"/>
    <hyperlink ref="K123" r:id="rId83" location="Tab6"/>
    <hyperlink ref="K124" r:id="rId84" location="Tab6"/>
    <hyperlink ref="K128" r:id="rId85" location="Tab6"/>
    <hyperlink ref="K130" r:id="rId86" location="Tab6"/>
    <hyperlink ref="K131" r:id="rId87" location="Tab6"/>
    <hyperlink ref="K132" r:id="rId88" location="Tab6"/>
    <hyperlink ref="K133" r:id="rId89" location="Tab6"/>
    <hyperlink ref="K135" r:id="rId90" location="Tab6"/>
    <hyperlink ref="K136" r:id="rId91" location="Tab6"/>
    <hyperlink ref="K137" r:id="rId92" location="Tab6"/>
    <hyperlink ref="K138" r:id="rId93" location="Tab6"/>
    <hyperlink ref="K139" r:id="rId94" location="Tab6"/>
    <hyperlink ref="K140" r:id="rId95" location="Tab6"/>
    <hyperlink ref="K141" r:id="rId96" location="Tab6"/>
    <hyperlink ref="K142" r:id="rId97" location="Tab6"/>
    <hyperlink ref="K143" r:id="rId98" location="Tab6"/>
    <hyperlink ref="K144" r:id="rId99" location="Tab6"/>
    <hyperlink ref="K145" r:id="rId100" location="Tab6"/>
    <hyperlink ref="K146" r:id="rId101" location="Tab6"/>
    <hyperlink ref="K147" r:id="rId102" location="Tab6"/>
    <hyperlink ref="K148" r:id="rId103" location="Tab6"/>
    <hyperlink ref="K149" r:id="rId104" location="Tab6"/>
    <hyperlink ref="K150" r:id="rId105" location="Tab6"/>
    <hyperlink ref="K151" r:id="rId106" location="Tab6"/>
    <hyperlink ref="K152" r:id="rId107" location="Tab6"/>
    <hyperlink ref="K153" r:id="rId108" location="Tab6"/>
    <hyperlink ref="K154" r:id="rId109" location="Tab6"/>
    <hyperlink ref="K155" r:id="rId110" location="Tab6"/>
    <hyperlink ref="K156" r:id="rId111" location="Tab6"/>
    <hyperlink ref="K157" r:id="rId112" location="Tab6"/>
    <hyperlink ref="K158" r:id="rId113" location="Tab6"/>
    <hyperlink ref="K162" r:id="rId114" location="Tab6"/>
    <hyperlink ref="K163" r:id="rId115" location="Tab6"/>
    <hyperlink ref="K164" r:id="rId116" location="Tab6"/>
    <hyperlink ref="K165" r:id="rId117" location="Tab6"/>
    <hyperlink ref="K166" r:id="rId118" location="Tab6"/>
    <hyperlink ref="A9" r:id="rId119"/>
    <hyperlink ref="K161" r:id="rId120"/>
    <hyperlink ref="K160" r:id="rId121"/>
    <hyperlink ref="K168" r:id="rId122"/>
    <hyperlink ref="K167" r:id="rId123"/>
    <hyperlink ref="K114" r:id="rId124"/>
    <hyperlink ref="K113" r:id="rId125"/>
    <hyperlink ref="K112" r:id="rId126"/>
    <hyperlink ref="K103" r:id="rId127"/>
    <hyperlink ref="K102" r:id="rId128"/>
    <hyperlink ref="K100" r:id="rId129"/>
    <hyperlink ref="K101" r:id="rId130"/>
    <hyperlink ref="K98" r:id="rId131"/>
    <hyperlink ref="K99" r:id="rId132"/>
    <hyperlink ref="K96" r:id="rId133"/>
    <hyperlink ref="K97" r:id="rId134"/>
    <hyperlink ref="K92" r:id="rId135"/>
    <hyperlink ref="K93" r:id="rId136"/>
    <hyperlink ref="K90" r:id="rId137"/>
    <hyperlink ref="K91" r:id="rId138"/>
    <hyperlink ref="K88" r:id="rId139"/>
    <hyperlink ref="K89" r:id="rId140"/>
    <hyperlink ref="K86" r:id="rId141"/>
    <hyperlink ref="K87" r:id="rId142"/>
    <hyperlink ref="K84" r:id="rId143"/>
    <hyperlink ref="K85" r:id="rId144"/>
    <hyperlink ref="K80" r:id="rId145"/>
    <hyperlink ref="K79" r:id="rId146"/>
    <hyperlink ref="K30" r:id="rId147"/>
  </hyperlinks>
  <pageMargins left="0.7" right="0.7" top="0.75" bottom="0.75" header="0.3" footer="0.3"/>
  <pageSetup orientation="portrait" r:id="rId148"/>
  <drawing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Residential Plug Loads</vt:lpstr>
      <vt:lpstr>Commercial Plug Loads</vt:lpstr>
      <vt:lpstr>'Residential Plug Loads'!Print_Area</vt:lpstr>
      <vt:lpstr>'Residential Plug Loads'!Print_Titles</vt:lpstr>
    </vt:vector>
  </TitlesOfParts>
  <Company>E Source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esnell</dc:creator>
  <cp:lastModifiedBy>Christina Bryson</cp:lastModifiedBy>
  <cp:lastPrinted>2013-05-08T21:08:09Z</cp:lastPrinted>
  <dcterms:created xsi:type="dcterms:W3CDTF">2012-07-17T17:25:44Z</dcterms:created>
  <dcterms:modified xsi:type="dcterms:W3CDTF">2017-05-31T21:16:25Z</dcterms:modified>
</cp:coreProperties>
</file>